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drawings/drawing3.xml" ContentType="application/vnd.openxmlformats-officedocument.drawing+xml"/>
  <Override PartName="/xl/ctrlProps/ctrlProp8.xml" ContentType="application/vnd.ms-excel.controlproperties+xml"/>
  <Override PartName="/xl/comments3.xml" ContentType="application/vnd.openxmlformats-officedocument.spreadsheetml.comments+xml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drawings/drawing4.xml" ContentType="application/vnd.openxmlformats-officedocument.drawing+xml"/>
  <Override PartName="/xl/ctrlProps/ctrlProp9.xml" ContentType="application/vnd.ms-excel.controlproperties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drawings/drawing6.xml" ContentType="application/vnd.openxmlformats-officedocument.drawing+xml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drawings/drawing9.xml" ContentType="application/vnd.openxmlformats-officedocument.drawing+xml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drawings/drawing10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tgnet4-my.sharepoint.com/personal/anders_karlsson_altramotion_com/Documents/Documents/PLA PC info/"/>
    </mc:Choice>
  </mc:AlternateContent>
  <xr:revisionPtr revIDLastSave="2" documentId="8_{345880F3-3014-4867-AB70-EC31024E6579}" xr6:coauthVersionLast="45" xr6:coauthVersionMax="46" xr10:uidLastSave="{29A8289E-DB25-4A12-AD0E-6DABE5409028}"/>
  <workbookProtection workbookAlgorithmName="SHA-512" workbookHashValue="T3TZcBon0AU8rFGY24WDgi17LPWvPIRu3lxQqqF7XEv7BgmsnkURTbWC2X5rljQXTARpTninbY4cwqFR+XrmWQ==" workbookSaltValue="66t9Wf/fh0i+buVTdF+03A==" workbookSpinCount="100000" lockStructure="1"/>
  <bookViews>
    <workbookView xWindow="30195" yWindow="45" windowWidth="25740" windowHeight="14760" tabRatio="703" xr2:uid="{00000000-000D-0000-FFFF-FFFF00000000}"/>
  </bookViews>
  <sheets>
    <sheet name="UI" sheetId="9" r:id="rId1"/>
    <sheet name="UIoptions" sheetId="16" state="hidden" r:id="rId2"/>
    <sheet name="DATABASE" sheetId="12" state="hidden" r:id="rId3"/>
    <sheet name="NewID" sheetId="6" state="hidden" r:id="rId4"/>
    <sheet name="MotorCrossRef" sheetId="13" state="hidden" r:id="rId5"/>
    <sheet name="Criteria" sheetId="8" state="hidden" r:id="rId6"/>
    <sheet name="Sheet1" sheetId="1" state="hidden" r:id="rId7"/>
    <sheet name="UIfilter" sheetId="14" state="hidden" r:id="rId8"/>
    <sheet name="VERSION" sheetId="17" state="hidden" r:id="rId9"/>
    <sheet name="DATABASErevision" sheetId="18" state="hidden" r:id="rId10"/>
    <sheet name="PRODUCTION" sheetId="19" state="hidden" r:id="rId11"/>
    <sheet name="Blad1" sheetId="20" state="hidden" r:id="rId12"/>
  </sheets>
  <definedNames>
    <definedName name="_xlnm._FilterDatabase" localSheetId="5" hidden="1">Criteria!$A$158:$CF$223</definedName>
    <definedName name="_xlnm._FilterDatabase" localSheetId="7" hidden="1">UIfilter!$A$2:$A$23</definedName>
    <definedName name="MotorManufacturersTxt" localSheetId="1">UiMotorManufacturers[MotorManufacturer]</definedName>
    <definedName name="MotorManufacturersTxt">UiMotorManufacturers[MotorManufacturer]</definedName>
    <definedName name="MotorModelsTxt">INDIRECT("MotorCrossRef!$B"&amp;UIfilter!$F$3):INDIRECT("MotorCrossRef!$B"&amp;UIfilter!$F$3+UIfilter!$F$4-1)</definedName>
    <definedName name="MotorsTxt" localSheetId="1">TableMotorCrossRef[ComboTxt]</definedName>
    <definedName name="MotorsTxt">TableMotorCrossRef[ComboTxt]</definedName>
    <definedName name="testDelete">UIfilter!$A$3,UIfilter!$A$5,UIfilter!$A$151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N334" i="12" l="1"/>
  <c r="BN335" i="12"/>
  <c r="BL334" i="12"/>
  <c r="BL335" i="12"/>
  <c r="BN333" i="12" l="1"/>
  <c r="BL333" i="12"/>
  <c r="BN332" i="12" l="1"/>
  <c r="D222" i="8"/>
  <c r="BL332" i="12" l="1"/>
  <c r="Q31" i="13" l="1"/>
  <c r="Q21" i="13"/>
  <c r="Q22" i="13"/>
  <c r="BN330" i="12"/>
  <c r="BN331" i="12"/>
  <c r="BL331" i="12"/>
  <c r="BL330" i="12"/>
  <c r="Q20" i="13"/>
  <c r="BN329" i="12" l="1"/>
  <c r="BN328" i="12"/>
  <c r="BN327" i="12"/>
  <c r="BN326" i="12" l="1"/>
  <c r="D221" i="8" l="1"/>
  <c r="BN325" i="12"/>
  <c r="BN324" i="12" l="1"/>
  <c r="BN319" i="12" l="1"/>
  <c r="BN320" i="12"/>
  <c r="BN321" i="12"/>
  <c r="BN322" i="12"/>
  <c r="BN323" i="12"/>
  <c r="D219" i="8" l="1"/>
  <c r="D218" i="8" l="1"/>
  <c r="D220" i="8" l="1"/>
  <c r="BN318" i="12" l="1"/>
  <c r="BN317" i="12" l="1"/>
  <c r="BN316" i="12" l="1"/>
  <c r="BN313" i="12" l="1"/>
  <c r="BN314" i="12"/>
  <c r="BN315" i="12"/>
  <c r="BN308" i="12" l="1"/>
  <c r="BN309" i="12"/>
  <c r="BN310" i="12"/>
  <c r="BN311" i="12"/>
  <c r="BN312" i="12"/>
  <c r="BN299" i="12" l="1"/>
  <c r="BN300" i="12"/>
  <c r="BN301" i="12"/>
  <c r="BN302" i="12"/>
  <c r="BN303" i="12"/>
  <c r="BN304" i="12"/>
  <c r="BN305" i="12"/>
  <c r="BN306" i="12"/>
  <c r="BN307" i="12"/>
  <c r="BN298" i="12" l="1"/>
  <c r="BN297" i="12" l="1"/>
  <c r="BN296" i="12" l="1"/>
  <c r="BN291" i="12" l="1"/>
  <c r="BN292" i="12"/>
  <c r="BN295" i="12"/>
  <c r="BN294" i="12" l="1"/>
  <c r="BN293" i="12" l="1"/>
  <c r="BN284" i="12"/>
  <c r="BN285" i="12"/>
  <c r="BN286" i="12"/>
  <c r="BN287" i="12"/>
  <c r="BN288" i="12"/>
  <c r="BN289" i="12"/>
  <c r="BN290" i="12"/>
  <c r="D217" i="8"/>
  <c r="D216" i="8" l="1"/>
  <c r="BN283" i="12" l="1"/>
  <c r="BN281" i="12" l="1"/>
  <c r="BN282" i="12"/>
  <c r="D215" i="8" l="1"/>
  <c r="BN280" i="12" l="1"/>
  <c r="BN279" i="12" l="1"/>
  <c r="BN278" i="12" l="1"/>
  <c r="BN277" i="12" l="1"/>
  <c r="D214" i="8" l="1"/>
  <c r="BN276" i="12"/>
  <c r="D213" i="8" l="1"/>
  <c r="BN275" i="12"/>
  <c r="BN274" i="12"/>
  <c r="BN273" i="12"/>
  <c r="BN272" i="12" l="1"/>
  <c r="BN271" i="12" l="1"/>
  <c r="BN270" i="12" l="1"/>
  <c r="D212" i="8" l="1"/>
  <c r="D186" i="8" l="1"/>
  <c r="D211" i="8" l="1"/>
  <c r="BN269" i="12" l="1"/>
  <c r="D209" i="8" l="1"/>
  <c r="D208" i="8" l="1"/>
  <c r="D193" i="8" l="1"/>
  <c r="D207" i="8" l="1"/>
  <c r="D205" i="8" l="1"/>
  <c r="BN268" i="12" l="1"/>
  <c r="BN267" i="12" l="1"/>
  <c r="BN266" i="12" l="1"/>
  <c r="BN265" i="12" l="1"/>
  <c r="BN264" i="12"/>
  <c r="BN263" i="12" l="1"/>
  <c r="D206" i="8" l="1"/>
  <c r="BN261" i="12" l="1"/>
  <c r="BN262" i="12"/>
  <c r="BN260" i="12" l="1"/>
  <c r="BN259" i="12" l="1"/>
  <c r="BN258" i="12"/>
  <c r="BN257" i="12"/>
  <c r="BN256" i="12" l="1"/>
  <c r="BN255" i="12" l="1"/>
  <c r="BN254" i="12"/>
  <c r="BN253" i="12" l="1"/>
  <c r="BN252" i="12" l="1"/>
  <c r="BN251" i="12" l="1"/>
  <c r="BN250" i="12" l="1"/>
  <c r="BN249" i="12" l="1"/>
  <c r="BN248" i="12" l="1"/>
  <c r="J55" i="16" l="1"/>
  <c r="I55" i="16"/>
  <c r="H55" i="16"/>
  <c r="G55" i="16"/>
  <c r="F55" i="16"/>
  <c r="D55" i="16" l="1"/>
  <c r="C55" i="16"/>
  <c r="E55" i="16" l="1"/>
  <c r="BN247" i="12"/>
  <c r="BN246" i="12"/>
  <c r="D223" i="8" l="1"/>
  <c r="BN245" i="12"/>
  <c r="D210" i="8" l="1"/>
  <c r="BN244" i="12"/>
  <c r="BN230" i="12"/>
  <c r="BN231" i="12"/>
  <c r="BN232" i="12"/>
  <c r="BN233" i="12"/>
  <c r="BN234" i="12"/>
  <c r="BN235" i="12"/>
  <c r="BN236" i="12"/>
  <c r="BN237" i="12"/>
  <c r="BN238" i="12"/>
  <c r="BN239" i="12"/>
  <c r="BN240" i="12"/>
  <c r="BN241" i="12"/>
  <c r="BN242" i="12"/>
  <c r="BN243" i="12"/>
  <c r="D204" i="8" l="1"/>
  <c r="D203" i="8" l="1"/>
  <c r="D202" i="8"/>
  <c r="BN229" i="12" l="1"/>
  <c r="BN228" i="12" l="1"/>
  <c r="BN227" i="12" l="1"/>
  <c r="BN226" i="12" l="1"/>
  <c r="BN225" i="12" l="1"/>
  <c r="BN224" i="12" l="1"/>
  <c r="BN223" i="12"/>
  <c r="BN222" i="12" l="1"/>
  <c r="BN221" i="12" l="1"/>
  <c r="D201" i="8" l="1"/>
  <c r="BN220" i="12"/>
  <c r="D200" i="8" l="1"/>
  <c r="BN219" i="12"/>
  <c r="BN218" i="12" l="1"/>
  <c r="D199" i="8" l="1"/>
  <c r="BN217" i="12"/>
  <c r="BN216" i="12" l="1"/>
  <c r="BN215" i="12" l="1"/>
  <c r="BN214" i="12" l="1"/>
  <c r="BN213" i="12" l="1"/>
  <c r="BN212" i="12" l="1"/>
  <c r="BN211" i="12" l="1"/>
  <c r="BN210" i="12" l="1"/>
  <c r="BN209" i="12"/>
  <c r="D198" i="8" l="1"/>
  <c r="BN208" i="12" l="1"/>
  <c r="D197" i="8" l="1"/>
  <c r="BN207" i="12" l="1"/>
  <c r="BN206" i="12" l="1"/>
  <c r="BN205" i="12" l="1"/>
  <c r="BN204" i="12" l="1"/>
  <c r="BN203" i="12" l="1"/>
  <c r="BN202" i="12" l="1"/>
  <c r="BN201" i="12" l="1"/>
  <c r="BN200" i="12" l="1"/>
  <c r="D196" i="8" l="1"/>
  <c r="BN4" i="12"/>
  <c r="BN5" i="12"/>
  <c r="BN6" i="12"/>
  <c r="BN7" i="12"/>
  <c r="BN8" i="12"/>
  <c r="BN9" i="12"/>
  <c r="BN10" i="12"/>
  <c r="BN11" i="12"/>
  <c r="BN12" i="12"/>
  <c r="BN13" i="12"/>
  <c r="BN14" i="12"/>
  <c r="BN15" i="12"/>
  <c r="BN16" i="12"/>
  <c r="BN17" i="12"/>
  <c r="BN18" i="12"/>
  <c r="BN19" i="12"/>
  <c r="BN20" i="12"/>
  <c r="BN21" i="12"/>
  <c r="BN22" i="12"/>
  <c r="BN23" i="12"/>
  <c r="BN24" i="12"/>
  <c r="BN25" i="12"/>
  <c r="BN26" i="12"/>
  <c r="BN27" i="12"/>
  <c r="BN28" i="12"/>
  <c r="BN29" i="12"/>
  <c r="BN30" i="12"/>
  <c r="BN31" i="12"/>
  <c r="BN32" i="12"/>
  <c r="BN33" i="12"/>
  <c r="BN34" i="12"/>
  <c r="BN35" i="12"/>
  <c r="BN36" i="12"/>
  <c r="BN37" i="12"/>
  <c r="BN38" i="12"/>
  <c r="BN39" i="12"/>
  <c r="BN40" i="12"/>
  <c r="BN41" i="12"/>
  <c r="BN42" i="12"/>
  <c r="BN43" i="12"/>
  <c r="BN44" i="12"/>
  <c r="BN45" i="12"/>
  <c r="BN46" i="12"/>
  <c r="BN47" i="12"/>
  <c r="BN48" i="12"/>
  <c r="BN49" i="12"/>
  <c r="BN50" i="12"/>
  <c r="BN51" i="12"/>
  <c r="BN52" i="12"/>
  <c r="BN53" i="12"/>
  <c r="BN54" i="12"/>
  <c r="BN55" i="12"/>
  <c r="BN56" i="12"/>
  <c r="BN57" i="12"/>
  <c r="BN58" i="12"/>
  <c r="BN59" i="12"/>
  <c r="BN60" i="12"/>
  <c r="BN61" i="12"/>
  <c r="BN62" i="12"/>
  <c r="BN63" i="12"/>
  <c r="BN64" i="12"/>
  <c r="BN65" i="12"/>
  <c r="BN66" i="12"/>
  <c r="BN67" i="12"/>
  <c r="BN68" i="12"/>
  <c r="BN69" i="12"/>
  <c r="BN70" i="12"/>
  <c r="BN71" i="12"/>
  <c r="BN72" i="12"/>
  <c r="BN73" i="12"/>
  <c r="BN74" i="12"/>
  <c r="BN75" i="12"/>
  <c r="BN76" i="12"/>
  <c r="BN77" i="12"/>
  <c r="BN78" i="12"/>
  <c r="BN79" i="12"/>
  <c r="BN80" i="12"/>
  <c r="BN81" i="12"/>
  <c r="BN82" i="12"/>
  <c r="BN83" i="12"/>
  <c r="BN84" i="12"/>
  <c r="BN85" i="12"/>
  <c r="BN86" i="12"/>
  <c r="BN87" i="12"/>
  <c r="BN88" i="12"/>
  <c r="BN89" i="12"/>
  <c r="BN90" i="12"/>
  <c r="BN91" i="12"/>
  <c r="BN92" i="12"/>
  <c r="BN93" i="12"/>
  <c r="BN94" i="12"/>
  <c r="BN95" i="12"/>
  <c r="BN96" i="12"/>
  <c r="BN97" i="12"/>
  <c r="BN98" i="12"/>
  <c r="BN99" i="12"/>
  <c r="BN100" i="12"/>
  <c r="BN101" i="12"/>
  <c r="BN102" i="12"/>
  <c r="BN103" i="12"/>
  <c r="BN104" i="12"/>
  <c r="BN105" i="12"/>
  <c r="BN106" i="12"/>
  <c r="BN107" i="12"/>
  <c r="BN108" i="12"/>
  <c r="U109" i="12"/>
  <c r="BN109" i="12"/>
  <c r="BN110" i="12"/>
  <c r="BN111" i="12"/>
  <c r="BN112" i="12"/>
  <c r="BN113" i="12"/>
  <c r="BN114" i="12"/>
  <c r="BN115" i="12"/>
  <c r="BN116" i="12"/>
  <c r="BN117" i="12"/>
  <c r="BN118" i="12"/>
  <c r="BN119" i="12"/>
  <c r="BN120" i="12"/>
  <c r="BN121" i="12"/>
  <c r="BN122" i="12"/>
  <c r="BN123" i="12"/>
  <c r="BN124" i="12"/>
  <c r="BN125" i="12"/>
  <c r="BN126" i="12"/>
  <c r="BN127" i="12"/>
  <c r="BN128" i="12"/>
  <c r="BN129" i="12"/>
  <c r="BN130" i="12"/>
  <c r="BN131" i="12"/>
  <c r="BN132" i="12"/>
  <c r="BN133" i="12"/>
  <c r="BN134" i="12"/>
  <c r="BN135" i="12"/>
  <c r="BN136" i="12"/>
  <c r="BN137" i="12"/>
  <c r="BN138" i="12"/>
  <c r="BN139" i="12"/>
  <c r="BN140" i="12"/>
  <c r="BN141" i="12"/>
  <c r="BN142" i="12"/>
  <c r="BN143" i="12"/>
  <c r="BN144" i="12"/>
  <c r="BN145" i="12"/>
  <c r="BN146" i="12"/>
  <c r="BN147" i="12"/>
  <c r="BN148" i="12"/>
  <c r="BN149" i="12"/>
  <c r="BN150" i="12"/>
  <c r="BN151" i="12"/>
  <c r="BN152" i="12"/>
  <c r="BN153" i="12"/>
  <c r="BN154" i="12"/>
  <c r="BN155" i="12"/>
  <c r="BN156" i="12"/>
  <c r="BN157" i="12"/>
  <c r="BN158" i="12"/>
  <c r="BN159" i="12"/>
  <c r="BN160" i="12"/>
  <c r="BN161" i="12"/>
  <c r="BN162" i="12"/>
  <c r="BN163" i="12"/>
  <c r="BN164" i="12"/>
  <c r="BN165" i="12"/>
  <c r="BN166" i="12"/>
  <c r="BN167" i="12"/>
  <c r="BN168" i="12"/>
  <c r="BN169" i="12"/>
  <c r="BN170" i="12"/>
  <c r="BN171" i="12"/>
  <c r="BN172" i="12"/>
  <c r="BN173" i="12"/>
  <c r="BN174" i="12"/>
  <c r="BN175" i="12"/>
  <c r="BN176" i="12"/>
  <c r="BN177" i="12"/>
  <c r="BN178" i="12"/>
  <c r="BN179" i="12"/>
  <c r="BN180" i="12"/>
  <c r="BN181" i="12"/>
  <c r="BN182" i="12"/>
  <c r="BN183" i="12"/>
  <c r="BN184" i="12"/>
  <c r="BN185" i="12"/>
  <c r="BN186" i="12"/>
  <c r="BN187" i="12"/>
  <c r="BN188" i="12"/>
  <c r="BN189" i="12"/>
  <c r="BN190" i="12"/>
  <c r="BN191" i="12"/>
  <c r="BN192" i="12"/>
  <c r="BN193" i="12"/>
  <c r="BN194" i="12"/>
  <c r="BN195" i="12"/>
  <c r="BN196" i="12"/>
  <c r="BN197" i="12"/>
  <c r="BN198" i="12"/>
  <c r="BN199" i="12"/>
  <c r="D195" i="8" l="1"/>
  <c r="D194" i="8" l="1"/>
  <c r="D192" i="8" l="1"/>
  <c r="D191" i="8" l="1"/>
  <c r="D190" i="8" l="1"/>
  <c r="D189" i="8" l="1"/>
  <c r="D188" i="8"/>
  <c r="Q141" i="13" l="1"/>
  <c r="Q140" i="13"/>
  <c r="Q52" i="13"/>
  <c r="Q51" i="13"/>
  <c r="Q50" i="13"/>
  <c r="Q49" i="13"/>
  <c r="D185" i="8" l="1"/>
  <c r="D13" i="19" l="1"/>
  <c r="D183" i="8" l="1"/>
  <c r="D184" i="8"/>
  <c r="D187" i="8"/>
  <c r="K54" i="16" l="1"/>
  <c r="K52" i="16"/>
  <c r="K50" i="16"/>
  <c r="R39" i="6" l="1"/>
  <c r="S39" i="6" s="1"/>
  <c r="R34" i="6"/>
  <c r="R40" i="6"/>
  <c r="S40" i="6" s="1"/>
  <c r="R37" i="6"/>
  <c r="S37" i="6" s="1"/>
  <c r="R36" i="6"/>
  <c r="S36" i="6" s="1"/>
  <c r="R33" i="6"/>
  <c r="R32" i="6"/>
  <c r="R31" i="6"/>
  <c r="R30" i="6"/>
  <c r="R29" i="6"/>
  <c r="R28" i="6"/>
  <c r="S34" i="6" l="1"/>
  <c r="I53" i="16"/>
  <c r="J53" i="16"/>
  <c r="J54" i="16"/>
  <c r="I54" i="16"/>
  <c r="J52" i="16"/>
  <c r="I52" i="16"/>
  <c r="J51" i="16"/>
  <c r="I51" i="16"/>
  <c r="J50" i="16"/>
  <c r="I50" i="16"/>
  <c r="D45" i="16" l="1"/>
  <c r="C45" i="16"/>
  <c r="H54" i="16" l="1"/>
  <c r="H53" i="16"/>
  <c r="H52" i="16"/>
  <c r="H51" i="16"/>
  <c r="H50" i="16"/>
  <c r="G54" i="16"/>
  <c r="G53" i="16"/>
  <c r="G52" i="16"/>
  <c r="G51" i="16"/>
  <c r="G50" i="16"/>
  <c r="D52" i="16"/>
  <c r="D53" i="16"/>
  <c r="D54" i="16"/>
  <c r="D51" i="16"/>
  <c r="D50" i="16"/>
  <c r="C54" i="16"/>
  <c r="C53" i="16"/>
  <c r="C52" i="16"/>
  <c r="C51" i="16"/>
  <c r="C50" i="16"/>
  <c r="E54" i="16" l="1"/>
  <c r="E52" i="16"/>
  <c r="E53" i="16"/>
  <c r="E50" i="16"/>
  <c r="E51" i="16"/>
  <c r="F54" i="16"/>
  <c r="F53" i="16"/>
  <c r="F52" i="16"/>
  <c r="F51" i="16"/>
  <c r="F50" i="16"/>
  <c r="I48" i="16" l="1"/>
  <c r="D22" i="19" s="1"/>
  <c r="H48" i="16"/>
  <c r="D20" i="19" s="1"/>
  <c r="G48" i="16"/>
  <c r="D19" i="19" s="1"/>
  <c r="D48" i="16"/>
  <c r="D7" i="19" s="1"/>
  <c r="D8" i="19" s="1"/>
  <c r="E48" i="16"/>
  <c r="F48" i="16"/>
  <c r="Q12" i="8"/>
  <c r="N18" i="8"/>
  <c r="D11" i="19" l="1"/>
  <c r="D10" i="19"/>
  <c r="D12" i="19"/>
  <c r="D15" i="19"/>
  <c r="BU58" i="8"/>
  <c r="BO58" i="8"/>
  <c r="BO57" i="8"/>
  <c r="BI58" i="8"/>
  <c r="BI57" i="8"/>
  <c r="D18" i="19" l="1"/>
  <c r="D17" i="19"/>
  <c r="D16" i="19"/>
  <c r="B15" i="9"/>
  <c r="BF58" i="8"/>
  <c r="BF57" i="8"/>
  <c r="BF43" i="8"/>
  <c r="BF44" i="8"/>
  <c r="BF29" i="8"/>
  <c r="BF30" i="8"/>
  <c r="AB57" i="8"/>
  <c r="AB43" i="8"/>
  <c r="AB29" i="8" l="1"/>
  <c r="Q39" i="13" l="1"/>
  <c r="Q37" i="13"/>
  <c r="Q38" i="13"/>
  <c r="Q36" i="13"/>
  <c r="Q45" i="13"/>
  <c r="Q44" i="13"/>
  <c r="K22" i="6"/>
  <c r="J22" i="6"/>
  <c r="C11" i="6"/>
  <c r="D11" i="6" s="1"/>
  <c r="L22" i="6"/>
  <c r="L17" i="6"/>
  <c r="J17" i="6" l="1"/>
  <c r="Q43" i="13" l="1"/>
  <c r="Q42" i="13"/>
  <c r="Q41" i="13"/>
  <c r="Q40" i="13"/>
  <c r="F2" i="14" l="1"/>
  <c r="B12" i="8"/>
  <c r="B11" i="8"/>
  <c r="E10" i="9" l="1"/>
  <c r="E11" i="9"/>
  <c r="E12" i="9"/>
  <c r="E13" i="9"/>
  <c r="E14" i="9"/>
  <c r="E15" i="9"/>
  <c r="E17" i="9"/>
  <c r="E18" i="9"/>
  <c r="E21" i="9"/>
  <c r="M18" i="16" l="1"/>
  <c r="M17" i="16"/>
  <c r="O17" i="16" s="1"/>
  <c r="P17" i="16" s="1"/>
  <c r="M16" i="16"/>
  <c r="M15" i="16"/>
  <c r="G22" i="6" s="1"/>
  <c r="M14" i="16"/>
  <c r="M13" i="16"/>
  <c r="M12" i="16"/>
  <c r="M11" i="16"/>
  <c r="U21" i="16"/>
  <c r="P19" i="16"/>
  <c r="R17" i="16"/>
  <c r="Q17" i="16"/>
  <c r="R13" i="16"/>
  <c r="Q13" i="16"/>
  <c r="R12" i="16"/>
  <c r="Q12" i="16"/>
  <c r="R11" i="16"/>
  <c r="Q11" i="16"/>
  <c r="R10" i="16"/>
  <c r="Q10" i="16"/>
  <c r="Q73" i="13"/>
  <c r="Q72" i="13"/>
  <c r="Q71" i="13"/>
  <c r="Q70" i="13"/>
  <c r="Q101" i="13"/>
  <c r="Q69" i="13"/>
  <c r="Q150" i="13"/>
  <c r="Q149" i="13"/>
  <c r="BK334" i="12" l="1"/>
  <c r="BK335" i="12"/>
  <c r="BK332" i="12"/>
  <c r="BK333" i="12"/>
  <c r="BK330" i="12"/>
  <c r="BK331" i="12"/>
  <c r="BK328" i="12"/>
  <c r="BK329" i="12"/>
  <c r="BK326" i="12"/>
  <c r="BK327" i="12"/>
  <c r="BK324" i="12"/>
  <c r="BK325" i="12"/>
  <c r="BK322" i="12"/>
  <c r="BK323" i="12"/>
  <c r="BK320" i="12"/>
  <c r="BK321" i="12"/>
  <c r="BK318" i="12"/>
  <c r="BK319" i="12"/>
  <c r="BK316" i="12"/>
  <c r="BK317" i="12"/>
  <c r="BK314" i="12"/>
  <c r="BK315" i="12"/>
  <c r="BK312" i="12"/>
  <c r="BK313" i="12"/>
  <c r="BK310" i="12"/>
  <c r="BK311" i="12"/>
  <c r="BK308" i="12"/>
  <c r="BK309" i="12"/>
  <c r="BK306" i="12"/>
  <c r="BK307" i="12"/>
  <c r="BK304" i="12"/>
  <c r="BK305" i="12"/>
  <c r="BK302" i="12"/>
  <c r="BK303" i="12"/>
  <c r="BK300" i="12"/>
  <c r="BK301" i="12"/>
  <c r="BK298" i="12"/>
  <c r="BK299" i="12"/>
  <c r="BK296" i="12"/>
  <c r="BK297" i="12"/>
  <c r="BK294" i="12"/>
  <c r="BK295" i="12"/>
  <c r="BK287" i="12"/>
  <c r="BK291" i="12"/>
  <c r="BK284" i="12"/>
  <c r="BK288" i="12"/>
  <c r="BK292" i="12"/>
  <c r="BK286" i="12"/>
  <c r="BK290" i="12"/>
  <c r="BK285" i="12"/>
  <c r="BK289" i="12"/>
  <c r="BK293" i="12"/>
  <c r="BK282" i="12"/>
  <c r="BK283" i="12"/>
  <c r="BK280" i="12"/>
  <c r="BK281" i="12"/>
  <c r="BK278" i="12"/>
  <c r="BK279" i="12"/>
  <c r="BK276" i="12"/>
  <c r="BK277" i="12"/>
  <c r="BK274" i="12"/>
  <c r="BK275" i="12"/>
  <c r="BK272" i="12"/>
  <c r="BK273" i="12"/>
  <c r="BK270" i="12"/>
  <c r="BK271" i="12"/>
  <c r="BK268" i="12"/>
  <c r="BK269" i="12"/>
  <c r="BK266" i="12"/>
  <c r="BK267" i="12"/>
  <c r="BK265" i="12"/>
  <c r="BK264" i="12"/>
  <c r="BK262" i="12"/>
  <c r="BK263" i="12"/>
  <c r="BK260" i="12"/>
  <c r="BK261" i="12"/>
  <c r="BK259" i="12"/>
  <c r="BK258" i="12"/>
  <c r="BK256" i="12"/>
  <c r="BK257" i="12"/>
  <c r="BK254" i="12"/>
  <c r="BK255" i="12"/>
  <c r="BK252" i="12"/>
  <c r="BK253" i="12"/>
  <c r="BK250" i="12"/>
  <c r="BK251" i="12"/>
  <c r="BK248" i="12"/>
  <c r="BK249" i="12"/>
  <c r="BK247" i="12"/>
  <c r="BK246" i="12"/>
  <c r="BK244" i="12"/>
  <c r="BK245" i="12"/>
  <c r="BK230" i="12"/>
  <c r="BK232" i="12"/>
  <c r="BK234" i="12"/>
  <c r="BK236" i="12"/>
  <c r="BK238" i="12"/>
  <c r="BK240" i="12"/>
  <c r="BK242" i="12"/>
  <c r="BK237" i="12"/>
  <c r="BK243" i="12"/>
  <c r="BK239" i="12"/>
  <c r="BK231" i="12"/>
  <c r="BK233" i="12"/>
  <c r="BK235" i="12"/>
  <c r="BK241" i="12"/>
  <c r="BK229" i="12"/>
  <c r="BK227" i="12"/>
  <c r="BK228" i="12"/>
  <c r="BK225" i="12"/>
  <c r="BK226" i="12"/>
  <c r="BK223" i="12"/>
  <c r="BK224" i="12"/>
  <c r="BK221" i="12"/>
  <c r="BK222" i="12"/>
  <c r="BK219" i="12"/>
  <c r="BK220" i="12"/>
  <c r="BK217" i="12"/>
  <c r="BK218" i="12"/>
  <c r="BK215" i="12"/>
  <c r="BK216" i="12"/>
  <c r="BK213" i="12"/>
  <c r="BK214" i="12"/>
  <c r="BK211" i="12"/>
  <c r="BK212" i="12"/>
  <c r="BK208" i="12"/>
  <c r="BK210" i="12"/>
  <c r="BK209" i="12"/>
  <c r="BK206" i="12"/>
  <c r="BK207" i="12"/>
  <c r="BK204" i="12"/>
  <c r="BK205" i="12"/>
  <c r="BK202" i="12"/>
  <c r="BK203" i="12"/>
  <c r="BK200" i="12"/>
  <c r="BK201" i="12"/>
  <c r="BK8" i="12"/>
  <c r="BK9" i="12"/>
  <c r="BK10" i="12"/>
  <c r="BK15" i="12"/>
  <c r="BK23" i="12"/>
  <c r="BK11" i="12"/>
  <c r="BK16" i="12"/>
  <c r="BK17" i="12"/>
  <c r="BK18" i="12"/>
  <c r="BK24" i="12"/>
  <c r="BK25" i="12"/>
  <c r="BK26" i="12"/>
  <c r="BK4" i="12"/>
  <c r="BK5" i="12"/>
  <c r="BK6" i="12"/>
  <c r="BK12" i="12"/>
  <c r="BK19" i="12"/>
  <c r="BK27" i="12"/>
  <c r="BK35" i="12"/>
  <c r="BK7" i="12"/>
  <c r="BK13" i="12"/>
  <c r="BK14" i="12"/>
  <c r="BK20" i="12"/>
  <c r="BK21" i="12"/>
  <c r="BK22" i="12"/>
  <c r="BK28" i="12"/>
  <c r="BK29" i="12"/>
  <c r="BK30" i="12"/>
  <c r="BK36" i="12"/>
  <c r="BK37" i="12"/>
  <c r="BK38" i="12"/>
  <c r="BK39" i="12"/>
  <c r="BK43" i="12"/>
  <c r="BK53" i="12"/>
  <c r="BK54" i="12"/>
  <c r="BK55" i="12"/>
  <c r="BK56" i="12"/>
  <c r="BK57" i="12"/>
  <c r="BK58" i="12"/>
  <c r="BK59" i="12"/>
  <c r="BK31" i="12"/>
  <c r="BK44" i="12"/>
  <c r="BK45" i="12"/>
  <c r="BK46" i="12"/>
  <c r="BK60" i="12"/>
  <c r="BK32" i="12"/>
  <c r="BK33" i="12"/>
  <c r="BK34" i="12"/>
  <c r="BK47" i="12"/>
  <c r="BK40" i="12"/>
  <c r="BK41" i="12"/>
  <c r="BK42" i="12"/>
  <c r="BK48" i="12"/>
  <c r="BK49" i="12"/>
  <c r="BK50" i="12"/>
  <c r="BK51" i="12"/>
  <c r="BK52" i="12"/>
  <c r="BK65" i="12"/>
  <c r="BK66" i="12"/>
  <c r="BK67" i="12"/>
  <c r="BK68" i="12"/>
  <c r="BK62" i="12"/>
  <c r="BK63" i="12"/>
  <c r="BK64" i="12"/>
  <c r="BK70" i="12"/>
  <c r="BK71" i="12"/>
  <c r="BK72" i="12"/>
  <c r="BK73" i="12"/>
  <c r="BK112" i="12"/>
  <c r="BK61" i="12"/>
  <c r="BK69" i="12"/>
  <c r="BK76" i="12"/>
  <c r="BK77" i="12"/>
  <c r="BK78" i="12"/>
  <c r="BK79" i="12"/>
  <c r="BK80" i="12"/>
  <c r="BK81" i="12"/>
  <c r="BK82" i="12"/>
  <c r="BK83" i="12"/>
  <c r="BK84" i="12"/>
  <c r="BK85" i="12"/>
  <c r="BK86" i="12"/>
  <c r="BK87" i="12"/>
  <c r="BK88" i="12"/>
  <c r="BK95" i="12"/>
  <c r="BK99" i="12"/>
  <c r="BK103" i="12"/>
  <c r="BK107" i="12"/>
  <c r="BK111" i="12"/>
  <c r="BK120" i="12"/>
  <c r="BK121" i="12"/>
  <c r="BK74" i="12"/>
  <c r="BK90" i="12"/>
  <c r="BK92" i="12"/>
  <c r="BK94" i="12"/>
  <c r="BK96" i="12"/>
  <c r="BK100" i="12"/>
  <c r="BK104" i="12"/>
  <c r="BK108" i="12"/>
  <c r="BK109" i="12"/>
  <c r="BK113" i="12"/>
  <c r="BK114" i="12"/>
  <c r="BK115" i="12"/>
  <c r="BK122" i="12"/>
  <c r="BK123" i="12"/>
  <c r="BK130" i="12"/>
  <c r="BK131" i="12"/>
  <c r="BK75" i="12"/>
  <c r="BK97" i="12"/>
  <c r="BK101" i="12"/>
  <c r="BK105" i="12"/>
  <c r="BK116" i="12"/>
  <c r="BK117" i="12"/>
  <c r="BK124" i="12"/>
  <c r="BK125" i="12"/>
  <c r="BK89" i="12"/>
  <c r="BK91" i="12"/>
  <c r="BK93" i="12"/>
  <c r="BK98" i="12"/>
  <c r="BK102" i="12"/>
  <c r="BK126" i="12"/>
  <c r="BK127" i="12"/>
  <c r="BK132" i="12"/>
  <c r="BK144" i="12"/>
  <c r="BK145" i="12"/>
  <c r="BK154" i="12"/>
  <c r="BK155" i="12"/>
  <c r="BK162" i="12"/>
  <c r="BK163" i="12"/>
  <c r="BK110" i="12"/>
  <c r="BK118" i="12"/>
  <c r="BK128" i="12"/>
  <c r="BK133" i="12"/>
  <c r="BK134" i="12"/>
  <c r="BK135" i="12"/>
  <c r="BK146" i="12"/>
  <c r="BK147" i="12"/>
  <c r="BK156" i="12"/>
  <c r="BK157" i="12"/>
  <c r="BK164" i="12"/>
  <c r="BK165" i="12"/>
  <c r="BK106" i="12"/>
  <c r="BK119" i="12"/>
  <c r="BK129" i="12"/>
  <c r="BK136" i="12"/>
  <c r="BK137" i="12"/>
  <c r="BK138" i="12"/>
  <c r="BK139" i="12"/>
  <c r="BK140" i="12"/>
  <c r="BK141" i="12"/>
  <c r="BK148" i="12"/>
  <c r="BK149" i="12"/>
  <c r="BK158" i="12"/>
  <c r="BK159" i="12"/>
  <c r="BK166" i="12"/>
  <c r="BK167" i="12"/>
  <c r="BK168" i="12"/>
  <c r="BK169" i="12"/>
  <c r="BK170" i="12"/>
  <c r="BK171" i="12"/>
  <c r="BK178" i="12"/>
  <c r="BK179" i="12"/>
  <c r="BK180" i="12"/>
  <c r="BK181" i="12"/>
  <c r="BK142" i="12"/>
  <c r="BK143" i="12"/>
  <c r="BK150" i="12"/>
  <c r="BK151" i="12"/>
  <c r="BK152" i="12"/>
  <c r="BK153" i="12"/>
  <c r="BK160" i="12"/>
  <c r="BK161" i="12"/>
  <c r="BK172" i="12"/>
  <c r="BK173" i="12"/>
  <c r="BK183" i="12"/>
  <c r="BK184" i="12"/>
  <c r="BK195" i="12"/>
  <c r="BK174" i="12"/>
  <c r="BK175" i="12"/>
  <c r="BK186" i="12"/>
  <c r="BK190" i="12"/>
  <c r="BK176" i="12"/>
  <c r="BK177" i="12"/>
  <c r="BK187" i="12"/>
  <c r="BK191" i="12"/>
  <c r="BK196" i="12"/>
  <c r="BK198" i="12"/>
  <c r="BK197" i="12"/>
  <c r="BK199" i="12"/>
  <c r="BK182" i="12"/>
  <c r="BK185" i="12"/>
  <c r="BK188" i="12"/>
  <c r="BK192" i="12"/>
  <c r="BK193" i="12"/>
  <c r="BK194" i="12"/>
  <c r="BK189" i="12"/>
  <c r="B20" i="8"/>
  <c r="C12" i="6"/>
  <c r="K17" i="6" s="1"/>
  <c r="B22" i="8"/>
  <c r="C22" i="8" s="1"/>
  <c r="O14" i="16"/>
  <c r="P14" i="16" s="1"/>
  <c r="O18" i="16"/>
  <c r="P18" i="16" s="1"/>
  <c r="I22" i="6"/>
  <c r="O11" i="16"/>
  <c r="P11" i="16" s="1"/>
  <c r="T11" i="16" s="1"/>
  <c r="B22" i="6"/>
  <c r="O15" i="16"/>
  <c r="P15" i="16" s="1"/>
  <c r="F22" i="6"/>
  <c r="O12" i="16"/>
  <c r="P12" i="16" s="1"/>
  <c r="D22" i="6"/>
  <c r="O16" i="16"/>
  <c r="P16" i="16" s="1"/>
  <c r="S16" i="16" s="1"/>
  <c r="H22" i="6"/>
  <c r="O13" i="16"/>
  <c r="P13" i="16" s="1"/>
  <c r="T13" i="16" s="1"/>
  <c r="E22" i="6"/>
  <c r="T17" i="16"/>
  <c r="S17" i="16"/>
  <c r="BL329" i="12" s="1"/>
  <c r="Q147" i="13"/>
  <c r="Q143" i="13"/>
  <c r="Q142" i="13"/>
  <c r="Q146" i="13"/>
  <c r="Q145" i="13"/>
  <c r="Q144" i="13"/>
  <c r="Q139" i="13"/>
  <c r="Q138" i="13"/>
  <c r="Q136" i="13"/>
  <c r="Q134" i="13"/>
  <c r="Q133" i="13"/>
  <c r="Q132" i="13"/>
  <c r="Q131" i="13"/>
  <c r="Q130" i="13"/>
  <c r="Q129" i="13"/>
  <c r="Q128" i="13"/>
  <c r="Q127" i="13"/>
  <c r="Q125" i="13"/>
  <c r="BD335" i="12" l="1"/>
  <c r="BD334" i="12"/>
  <c r="BD332" i="12"/>
  <c r="BD333" i="12"/>
  <c r="BD331" i="12"/>
  <c r="BD330" i="12"/>
  <c r="BD328" i="12"/>
  <c r="BD329" i="12"/>
  <c r="BL325" i="12"/>
  <c r="BL328" i="12"/>
  <c r="BL327" i="12"/>
  <c r="BL326" i="12"/>
  <c r="BD326" i="12"/>
  <c r="BD327" i="12"/>
  <c r="BD324" i="12"/>
  <c r="BD325" i="12"/>
  <c r="BL323" i="12"/>
  <c r="BL324" i="12"/>
  <c r="BL322" i="12"/>
  <c r="BD322" i="12"/>
  <c r="BD323" i="12"/>
  <c r="BL320" i="12"/>
  <c r="BL321" i="12"/>
  <c r="BD320" i="12"/>
  <c r="BD321" i="12"/>
  <c r="BL319" i="12"/>
  <c r="BD318" i="12"/>
  <c r="BD319" i="12"/>
  <c r="BL317" i="12"/>
  <c r="BL318" i="12"/>
  <c r="BD316" i="12"/>
  <c r="BD317" i="12"/>
  <c r="BL315" i="12"/>
  <c r="BL316" i="12"/>
  <c r="BD314" i="12"/>
  <c r="BD315" i="12"/>
  <c r="BL314" i="12"/>
  <c r="BL313" i="12"/>
  <c r="BL312" i="12"/>
  <c r="BL311" i="12"/>
  <c r="BD312" i="12"/>
  <c r="BD313" i="12"/>
  <c r="BD310" i="12"/>
  <c r="BD311" i="12"/>
  <c r="BL310" i="12"/>
  <c r="BL298" i="12"/>
  <c r="BL309" i="12"/>
  <c r="BL308" i="12"/>
  <c r="BL307" i="12"/>
  <c r="BL306" i="12"/>
  <c r="BL305" i="12"/>
  <c r="BL304" i="12"/>
  <c r="BD308" i="12"/>
  <c r="BD309" i="12"/>
  <c r="BD306" i="12"/>
  <c r="BD307" i="12"/>
  <c r="BD304" i="12"/>
  <c r="BD305" i="12"/>
  <c r="BL302" i="12"/>
  <c r="BL303" i="12"/>
  <c r="BD302" i="12"/>
  <c r="BD303" i="12"/>
  <c r="BL301" i="12"/>
  <c r="BL300" i="12"/>
  <c r="BL299" i="12"/>
  <c r="BD300" i="12"/>
  <c r="BD301" i="12"/>
  <c r="BD298" i="12"/>
  <c r="BD299" i="12"/>
  <c r="BL295" i="12"/>
  <c r="BL297" i="12"/>
  <c r="BL296" i="12"/>
  <c r="BD296" i="12"/>
  <c r="BD297" i="12"/>
  <c r="BD294" i="12"/>
  <c r="BD295" i="12"/>
  <c r="BL294" i="12"/>
  <c r="BL285" i="12"/>
  <c r="BL289" i="12"/>
  <c r="BL284" i="12"/>
  <c r="BL292" i="12"/>
  <c r="BL286" i="12"/>
  <c r="BL290" i="12"/>
  <c r="BL293" i="12"/>
  <c r="BL287" i="12"/>
  <c r="BL291" i="12"/>
  <c r="BL288" i="12"/>
  <c r="BD287" i="12"/>
  <c r="BD291" i="12"/>
  <c r="BD286" i="12"/>
  <c r="BD290" i="12"/>
  <c r="BD284" i="12"/>
  <c r="BD288" i="12"/>
  <c r="BD292" i="12"/>
  <c r="BD285" i="12"/>
  <c r="BD289" i="12"/>
  <c r="BD293" i="12"/>
  <c r="BL283" i="12"/>
  <c r="BL282" i="12"/>
  <c r="BD282" i="12"/>
  <c r="BD283" i="12"/>
  <c r="BL280" i="12"/>
  <c r="BL281" i="12"/>
  <c r="BD280" i="12"/>
  <c r="BD281" i="12"/>
  <c r="BL278" i="12"/>
  <c r="BL279" i="12"/>
  <c r="BD278" i="12"/>
  <c r="BD279" i="12"/>
  <c r="BL276" i="12"/>
  <c r="BL277" i="12"/>
  <c r="BD276" i="12"/>
  <c r="BD277" i="12"/>
  <c r="BD274" i="12"/>
  <c r="BD275" i="12"/>
  <c r="BL274" i="12"/>
  <c r="BL275" i="12"/>
  <c r="BL272" i="12"/>
  <c r="BL273" i="12"/>
  <c r="BD272" i="12"/>
  <c r="BD273" i="12"/>
  <c r="BL271" i="12"/>
  <c r="BL270" i="12"/>
  <c r="BD270" i="12"/>
  <c r="BD271" i="12"/>
  <c r="BL269" i="12"/>
  <c r="BD268" i="12"/>
  <c r="BD269" i="12"/>
  <c r="BL268" i="12"/>
  <c r="BL266" i="12"/>
  <c r="BL267" i="12"/>
  <c r="BD266" i="12"/>
  <c r="BD267" i="12"/>
  <c r="BL264" i="12"/>
  <c r="BL265" i="12"/>
  <c r="BL263" i="12"/>
  <c r="BL262" i="12"/>
  <c r="BL261" i="12"/>
  <c r="BD264" i="12"/>
  <c r="BD265" i="12"/>
  <c r="BD262" i="12"/>
  <c r="BD263" i="12"/>
  <c r="BD260" i="12"/>
  <c r="BD261" i="12"/>
  <c r="BL245" i="12"/>
  <c r="BL260" i="12"/>
  <c r="BL259" i="12"/>
  <c r="BL257" i="12"/>
  <c r="BL258" i="12"/>
  <c r="BL256" i="12"/>
  <c r="BL255" i="12"/>
  <c r="BL254" i="12"/>
  <c r="BL253" i="12"/>
  <c r="BL252" i="12"/>
  <c r="BL251" i="12"/>
  <c r="BL250" i="12"/>
  <c r="BL249" i="12"/>
  <c r="BL248" i="12"/>
  <c r="BL247" i="12"/>
  <c r="BL246" i="12"/>
  <c r="BD258" i="12"/>
  <c r="BD259" i="12"/>
  <c r="BD256" i="12"/>
  <c r="BD257" i="12"/>
  <c r="BD254" i="12"/>
  <c r="BD255" i="12"/>
  <c r="BD252" i="12"/>
  <c r="BD253" i="12"/>
  <c r="BD250" i="12"/>
  <c r="BD251" i="12"/>
  <c r="BD248" i="12"/>
  <c r="BD249" i="12"/>
  <c r="BD246" i="12"/>
  <c r="BD247" i="12"/>
  <c r="BD244" i="12"/>
  <c r="BD245" i="12"/>
  <c r="BL244" i="12"/>
  <c r="BL237" i="12"/>
  <c r="BL234" i="12"/>
  <c r="BL242" i="12"/>
  <c r="BL231" i="12"/>
  <c r="BL243" i="12"/>
  <c r="BL233" i="12"/>
  <c r="BL241" i="12"/>
  <c r="BL238" i="12"/>
  <c r="BL239" i="12"/>
  <c r="BL236" i="12"/>
  <c r="BL230" i="12"/>
  <c r="BL235" i="12"/>
  <c r="BL240" i="12"/>
  <c r="BL232" i="12"/>
  <c r="BD233" i="12"/>
  <c r="BD237" i="12"/>
  <c r="BD241" i="12"/>
  <c r="BD230" i="12"/>
  <c r="BD234" i="12"/>
  <c r="BD238" i="12"/>
  <c r="BD242" i="12"/>
  <c r="BD231" i="12"/>
  <c r="BD235" i="12"/>
  <c r="BD239" i="12"/>
  <c r="BD243" i="12"/>
  <c r="BD232" i="12"/>
  <c r="BD236" i="12"/>
  <c r="BD240" i="12"/>
  <c r="BL229" i="12"/>
  <c r="BL228" i="12"/>
  <c r="BD229" i="12"/>
  <c r="BD227" i="12"/>
  <c r="BD228" i="12"/>
  <c r="BL227" i="12"/>
  <c r="BL226" i="12"/>
  <c r="BL225" i="12"/>
  <c r="BD225" i="12"/>
  <c r="BD226" i="12"/>
  <c r="BL224" i="12"/>
  <c r="BL223" i="12"/>
  <c r="BL222" i="12"/>
  <c r="BL221" i="12"/>
  <c r="BL220" i="12"/>
  <c r="BL219" i="12"/>
  <c r="BL218" i="12"/>
  <c r="BL217" i="12"/>
  <c r="BD223" i="12"/>
  <c r="BD224" i="12"/>
  <c r="BD221" i="12"/>
  <c r="BD222" i="12"/>
  <c r="BD219" i="12"/>
  <c r="BD220" i="12"/>
  <c r="BD217" i="12"/>
  <c r="BD218" i="12"/>
  <c r="BD215" i="12"/>
  <c r="BD216" i="12"/>
  <c r="BL216" i="12"/>
  <c r="BL208" i="12"/>
  <c r="BL215" i="12"/>
  <c r="BL214" i="12"/>
  <c r="BL213" i="12"/>
  <c r="BL212" i="12"/>
  <c r="BL211" i="12"/>
  <c r="BL210" i="12"/>
  <c r="BL209" i="12"/>
  <c r="BD213" i="12"/>
  <c r="BD214" i="12"/>
  <c r="BD211" i="12"/>
  <c r="BD212" i="12"/>
  <c r="BD208" i="12"/>
  <c r="BD210" i="12"/>
  <c r="BD209" i="12"/>
  <c r="BL207" i="12"/>
  <c r="BD206" i="12"/>
  <c r="BD207" i="12"/>
  <c r="BL206" i="12"/>
  <c r="BL202" i="12"/>
  <c r="BL205" i="12"/>
  <c r="BL204" i="12"/>
  <c r="BL203" i="12"/>
  <c r="BD204" i="12"/>
  <c r="BD205" i="12"/>
  <c r="BD202" i="12"/>
  <c r="BD203" i="12"/>
  <c r="BD200" i="12"/>
  <c r="BD201" i="12"/>
  <c r="BL200" i="12"/>
  <c r="BL201" i="12"/>
  <c r="BL7" i="12"/>
  <c r="BL13" i="12"/>
  <c r="BL14" i="12"/>
  <c r="BL20" i="12"/>
  <c r="BL21" i="12"/>
  <c r="BL22" i="12"/>
  <c r="BL28" i="12"/>
  <c r="BL29" i="12"/>
  <c r="BL8" i="12"/>
  <c r="BL9" i="12"/>
  <c r="BL10" i="12"/>
  <c r="BL15" i="12"/>
  <c r="BL23" i="12"/>
  <c r="BL11" i="12"/>
  <c r="BL16" i="12"/>
  <c r="BL17" i="12"/>
  <c r="BL18" i="12"/>
  <c r="BL24" i="12"/>
  <c r="BL25" i="12"/>
  <c r="BL26" i="12"/>
  <c r="BL32" i="12"/>
  <c r="BL33" i="12"/>
  <c r="BL34" i="12"/>
  <c r="BL4" i="12"/>
  <c r="BL5" i="12"/>
  <c r="BL6" i="12"/>
  <c r="BL12" i="12"/>
  <c r="BL19" i="12"/>
  <c r="BL27" i="12"/>
  <c r="BL35" i="12"/>
  <c r="BL40" i="12"/>
  <c r="BL41" i="12"/>
  <c r="BL42" i="12"/>
  <c r="BL48" i="12"/>
  <c r="BL49" i="12"/>
  <c r="BL50" i="12"/>
  <c r="BL51" i="12"/>
  <c r="BL52" i="12"/>
  <c r="BL65" i="12"/>
  <c r="BL66" i="12"/>
  <c r="BL30" i="12"/>
  <c r="BL36" i="12"/>
  <c r="BL37" i="12"/>
  <c r="BL39" i="12"/>
  <c r="BL43" i="12"/>
  <c r="BL53" i="12"/>
  <c r="BL54" i="12"/>
  <c r="BL55" i="12"/>
  <c r="BL56" i="12"/>
  <c r="BL57" i="12"/>
  <c r="BL58" i="12"/>
  <c r="BL59" i="12"/>
  <c r="BL31" i="12"/>
  <c r="BL44" i="12"/>
  <c r="BL45" i="12"/>
  <c r="BL46" i="12"/>
  <c r="BL38" i="12"/>
  <c r="BL47" i="12"/>
  <c r="BL61" i="12"/>
  <c r="BL62" i="12"/>
  <c r="BL63" i="12"/>
  <c r="BL64" i="12"/>
  <c r="BL67" i="12"/>
  <c r="BL69" i="12"/>
  <c r="BL76" i="12"/>
  <c r="BL77" i="12"/>
  <c r="BL78" i="12"/>
  <c r="BL79" i="12"/>
  <c r="BL80" i="12"/>
  <c r="BL81" i="12"/>
  <c r="BL82" i="12"/>
  <c r="BL83" i="12"/>
  <c r="BL84" i="12"/>
  <c r="BL85" i="12"/>
  <c r="BL86" i="12"/>
  <c r="BL87" i="12"/>
  <c r="BL88" i="12"/>
  <c r="BL89" i="12"/>
  <c r="BL90" i="12"/>
  <c r="BL91" i="12"/>
  <c r="BL92" i="12"/>
  <c r="BL93" i="12"/>
  <c r="BL94" i="12"/>
  <c r="BL70" i="12"/>
  <c r="BL71" i="12"/>
  <c r="BL72" i="12"/>
  <c r="BL60" i="12"/>
  <c r="BL68" i="12"/>
  <c r="BL73" i="12"/>
  <c r="BL74" i="12"/>
  <c r="BL75" i="12"/>
  <c r="BL110" i="12"/>
  <c r="BL111" i="12"/>
  <c r="BL98" i="12"/>
  <c r="BL102" i="12"/>
  <c r="BL106" i="12"/>
  <c r="BL118" i="12"/>
  <c r="BL119" i="12"/>
  <c r="BL95" i="12"/>
  <c r="BL99" i="12"/>
  <c r="BL103" i="12"/>
  <c r="BL107" i="12"/>
  <c r="BL120" i="12"/>
  <c r="BL121" i="12"/>
  <c r="BL128" i="12"/>
  <c r="BL129" i="12"/>
  <c r="BL96" i="12"/>
  <c r="BL100" i="12"/>
  <c r="BL104" i="12"/>
  <c r="BL108" i="12"/>
  <c r="BL109" i="12"/>
  <c r="BL113" i="12"/>
  <c r="BL114" i="12"/>
  <c r="BL115" i="12"/>
  <c r="BL122" i="12"/>
  <c r="BL123" i="12"/>
  <c r="BL97" i="12"/>
  <c r="BL101" i="12"/>
  <c r="BL105" i="12"/>
  <c r="BL117" i="12"/>
  <c r="BL125" i="12"/>
  <c r="BL142" i="12"/>
  <c r="BL143" i="12"/>
  <c r="BL150" i="12"/>
  <c r="BL151" i="12"/>
  <c r="BL152" i="12"/>
  <c r="BL153" i="12"/>
  <c r="BL160" i="12"/>
  <c r="BL161" i="12"/>
  <c r="BL124" i="12"/>
  <c r="BL126" i="12"/>
  <c r="BL127" i="12"/>
  <c r="BL130" i="12"/>
  <c r="BL132" i="12"/>
  <c r="BL144" i="12"/>
  <c r="BL145" i="12"/>
  <c r="BL154" i="12"/>
  <c r="BL155" i="12"/>
  <c r="BL162" i="12"/>
  <c r="BL163" i="12"/>
  <c r="BL116" i="12"/>
  <c r="BL133" i="12"/>
  <c r="BL134" i="12"/>
  <c r="BL135" i="12"/>
  <c r="BL146" i="12"/>
  <c r="BL147" i="12"/>
  <c r="BL156" i="12"/>
  <c r="BL157" i="12"/>
  <c r="BL164" i="12"/>
  <c r="BL165" i="12"/>
  <c r="BL176" i="12"/>
  <c r="BL177" i="12"/>
  <c r="BL186" i="12"/>
  <c r="BL187" i="12"/>
  <c r="BL188" i="12"/>
  <c r="BL189" i="12"/>
  <c r="BL190" i="12"/>
  <c r="BL191" i="12"/>
  <c r="BL194" i="12"/>
  <c r="BL112" i="12"/>
  <c r="BL131" i="12"/>
  <c r="BL136" i="12"/>
  <c r="BL137" i="12"/>
  <c r="BL138" i="12"/>
  <c r="BL139" i="12"/>
  <c r="BL140" i="12"/>
  <c r="BL141" i="12"/>
  <c r="BL148" i="12"/>
  <c r="BL149" i="12"/>
  <c r="BL158" i="12"/>
  <c r="BL159" i="12"/>
  <c r="BL166" i="12"/>
  <c r="BL167" i="12"/>
  <c r="BL168" i="12"/>
  <c r="BL169" i="12"/>
  <c r="BL170" i="12"/>
  <c r="BL171" i="12"/>
  <c r="BL178" i="12"/>
  <c r="BL179" i="12"/>
  <c r="BL180" i="12"/>
  <c r="BL181" i="12"/>
  <c r="BL173" i="12"/>
  <c r="BL182" i="12"/>
  <c r="BL185" i="12"/>
  <c r="BL192" i="12"/>
  <c r="BL199" i="12"/>
  <c r="BL183" i="12"/>
  <c r="BL184" i="12"/>
  <c r="BL195" i="12"/>
  <c r="BL197" i="12"/>
  <c r="BL172" i="12"/>
  <c r="BL174" i="12"/>
  <c r="BL175" i="12"/>
  <c r="BL196" i="12"/>
  <c r="BL198" i="12"/>
  <c r="BL193" i="12"/>
  <c r="BD7" i="12"/>
  <c r="BD13" i="12"/>
  <c r="BD14" i="12"/>
  <c r="BD20" i="12"/>
  <c r="BD21" i="12"/>
  <c r="BD22" i="12"/>
  <c r="BD28" i="12"/>
  <c r="BD29" i="12"/>
  <c r="BD8" i="12"/>
  <c r="BD9" i="12"/>
  <c r="BD10" i="12"/>
  <c r="BD15" i="12"/>
  <c r="BD23" i="12"/>
  <c r="BD11" i="12"/>
  <c r="BD16" i="12"/>
  <c r="BD17" i="12"/>
  <c r="BD18" i="12"/>
  <c r="BD24" i="12"/>
  <c r="BD25" i="12"/>
  <c r="BD26" i="12"/>
  <c r="BD32" i="12"/>
  <c r="BD33" i="12"/>
  <c r="BD34" i="12"/>
  <c r="BD4" i="12"/>
  <c r="BD5" i="12"/>
  <c r="BD6" i="12"/>
  <c r="BD12" i="12"/>
  <c r="BD19" i="12"/>
  <c r="BD27" i="12"/>
  <c r="BD35" i="12"/>
  <c r="BD30" i="12"/>
  <c r="BD36" i="12"/>
  <c r="BD38" i="12"/>
  <c r="BD41" i="12"/>
  <c r="BD42" i="12"/>
  <c r="BD48" i="12"/>
  <c r="BD49" i="12"/>
  <c r="BD50" i="12"/>
  <c r="BD51" i="12"/>
  <c r="BD52" i="12"/>
  <c r="BD65" i="12"/>
  <c r="BD66" i="12"/>
  <c r="BD31" i="12"/>
  <c r="BD40" i="12"/>
  <c r="BD43" i="12"/>
  <c r="BD53" i="12"/>
  <c r="BD54" i="12"/>
  <c r="BD55" i="12"/>
  <c r="BD56" i="12"/>
  <c r="BD57" i="12"/>
  <c r="BD58" i="12"/>
  <c r="BD59" i="12"/>
  <c r="BD44" i="12"/>
  <c r="BD45" i="12"/>
  <c r="BD46" i="12"/>
  <c r="BD37" i="12"/>
  <c r="BD39" i="12"/>
  <c r="BD47" i="12"/>
  <c r="BD61" i="12"/>
  <c r="BD62" i="12"/>
  <c r="BD63" i="12"/>
  <c r="BD64" i="12"/>
  <c r="BD76" i="12"/>
  <c r="BD77" i="12"/>
  <c r="BD78" i="12"/>
  <c r="BD79" i="12"/>
  <c r="BD80" i="12"/>
  <c r="BD81" i="12"/>
  <c r="BD82" i="12"/>
  <c r="BD83" i="12"/>
  <c r="BD84" i="12"/>
  <c r="BD85" i="12"/>
  <c r="BD86" i="12"/>
  <c r="BD87" i="12"/>
  <c r="BD88" i="12"/>
  <c r="BD89" i="12"/>
  <c r="BD90" i="12"/>
  <c r="BD91" i="12"/>
  <c r="BD92" i="12"/>
  <c r="BD93" i="12"/>
  <c r="BD94" i="12"/>
  <c r="BD95" i="12"/>
  <c r="BD67" i="12"/>
  <c r="BD71" i="12"/>
  <c r="BD72" i="12"/>
  <c r="BD60" i="12"/>
  <c r="BD69" i="12"/>
  <c r="BD73" i="12"/>
  <c r="BD74" i="12"/>
  <c r="BD75" i="12"/>
  <c r="BD110" i="12"/>
  <c r="BD111" i="12"/>
  <c r="BD68" i="12"/>
  <c r="BD70" i="12"/>
  <c r="BD96" i="12"/>
  <c r="BD100" i="12"/>
  <c r="BD104" i="12"/>
  <c r="BD108" i="12"/>
  <c r="BD112" i="12"/>
  <c r="BD118" i="12"/>
  <c r="BD119" i="12"/>
  <c r="BD97" i="12"/>
  <c r="BD101" i="12"/>
  <c r="BD105" i="12"/>
  <c r="BD120" i="12"/>
  <c r="BD121" i="12"/>
  <c r="BD128" i="12"/>
  <c r="BD129" i="12"/>
  <c r="BD98" i="12"/>
  <c r="BD102" i="12"/>
  <c r="BD106" i="12"/>
  <c r="BD113" i="12"/>
  <c r="BD114" i="12"/>
  <c r="BD115" i="12"/>
  <c r="BD122" i="12"/>
  <c r="BD123" i="12"/>
  <c r="BD99" i="12"/>
  <c r="BD103" i="12"/>
  <c r="BD107" i="12"/>
  <c r="BD117" i="12"/>
  <c r="BD126" i="12"/>
  <c r="BD127" i="12"/>
  <c r="BD131" i="12"/>
  <c r="BD133" i="12"/>
  <c r="BD142" i="12"/>
  <c r="BD143" i="12"/>
  <c r="BD150" i="12"/>
  <c r="BD151" i="12"/>
  <c r="BD152" i="12"/>
  <c r="BD153" i="12"/>
  <c r="BD160" i="12"/>
  <c r="BD161" i="12"/>
  <c r="BD124" i="12"/>
  <c r="BD144" i="12"/>
  <c r="BD145" i="12"/>
  <c r="BD154" i="12"/>
  <c r="BD155" i="12"/>
  <c r="BD162" i="12"/>
  <c r="BD163" i="12"/>
  <c r="BD174" i="12"/>
  <c r="BD109" i="12"/>
  <c r="BD116" i="12"/>
  <c r="BD130" i="12"/>
  <c r="BD135" i="12"/>
  <c r="BD146" i="12"/>
  <c r="BD147" i="12"/>
  <c r="BD156" i="12"/>
  <c r="BD157" i="12"/>
  <c r="BD164" i="12"/>
  <c r="BD165" i="12"/>
  <c r="BD176" i="12"/>
  <c r="BD177" i="12"/>
  <c r="BD186" i="12"/>
  <c r="BD187" i="12"/>
  <c r="BD188" i="12"/>
  <c r="BD189" i="12"/>
  <c r="BD190" i="12"/>
  <c r="BD191" i="12"/>
  <c r="BD194" i="12"/>
  <c r="BD125" i="12"/>
  <c r="BD132" i="12"/>
  <c r="BD134" i="12"/>
  <c r="BD136" i="12"/>
  <c r="BD137" i="12"/>
  <c r="BD138" i="12"/>
  <c r="BD139" i="12"/>
  <c r="BD140" i="12"/>
  <c r="BD141" i="12"/>
  <c r="BD148" i="12"/>
  <c r="BD149" i="12"/>
  <c r="BD158" i="12"/>
  <c r="BD159" i="12"/>
  <c r="BD166" i="12"/>
  <c r="BD167" i="12"/>
  <c r="BD168" i="12"/>
  <c r="BD169" i="12"/>
  <c r="BD170" i="12"/>
  <c r="BD171" i="12"/>
  <c r="BD178" i="12"/>
  <c r="BD179" i="12"/>
  <c r="BD180" i="12"/>
  <c r="BD181" i="12"/>
  <c r="BD173" i="12"/>
  <c r="BD175" i="12"/>
  <c r="BD185" i="12"/>
  <c r="BD192" i="12"/>
  <c r="BD195" i="12"/>
  <c r="BD199" i="12"/>
  <c r="BD172" i="12"/>
  <c r="BD182" i="12"/>
  <c r="BD184" i="12"/>
  <c r="BD193" i="12"/>
  <c r="BD197" i="12"/>
  <c r="BD183" i="12"/>
  <c r="BD196" i="12"/>
  <c r="BD198" i="12"/>
  <c r="T15" i="16"/>
  <c r="C8" i="6"/>
  <c r="G17" i="6" s="1"/>
  <c r="BY58" i="8"/>
  <c r="BY57" i="8"/>
  <c r="S13" i="16"/>
  <c r="T16" i="16"/>
  <c r="BI109" i="12" s="1"/>
  <c r="S15" i="16"/>
  <c r="S11" i="16"/>
  <c r="B16" i="8"/>
  <c r="C6" i="6"/>
  <c r="E17" i="6" s="1"/>
  <c r="B15" i="8"/>
  <c r="C5" i="6"/>
  <c r="D17" i="6" s="1"/>
  <c r="C4" i="6"/>
  <c r="S12" i="16"/>
  <c r="B17" i="8"/>
  <c r="AY99" i="8" s="1"/>
  <c r="B14" i="8"/>
  <c r="C3" i="6"/>
  <c r="B17" i="6" s="1"/>
  <c r="T12" i="16"/>
  <c r="B19" i="8"/>
  <c r="C9" i="6"/>
  <c r="H17" i="6" s="1"/>
  <c r="B18" i="8"/>
  <c r="C7" i="6"/>
  <c r="F17" i="6" s="1"/>
  <c r="B21" i="8"/>
  <c r="C10" i="6"/>
  <c r="Q148" i="13"/>
  <c r="Q137" i="13"/>
  <c r="Q135" i="13"/>
  <c r="Q126" i="13"/>
  <c r="Q123" i="13"/>
  <c r="Q121" i="13"/>
  <c r="Q124" i="13"/>
  <c r="Q119" i="13"/>
  <c r="Q118" i="13"/>
  <c r="BH335" i="12" l="1"/>
  <c r="BH334" i="12"/>
  <c r="BH333" i="12"/>
  <c r="BH332" i="12"/>
  <c r="BH331" i="12"/>
  <c r="BH330" i="12"/>
  <c r="BH329" i="12"/>
  <c r="BH327" i="12"/>
  <c r="BH328" i="12"/>
  <c r="BH326" i="12"/>
  <c r="BH325" i="12"/>
  <c r="BH324" i="12"/>
  <c r="BH323" i="12"/>
  <c r="BH322" i="12"/>
  <c r="BI334" i="12"/>
  <c r="BI335" i="12"/>
  <c r="BG335" i="12"/>
  <c r="BG334" i="12"/>
  <c r="BF334" i="12"/>
  <c r="BF335" i="12"/>
  <c r="BE333" i="12"/>
  <c r="BE334" i="12"/>
  <c r="BE335" i="12"/>
  <c r="BC335" i="12"/>
  <c r="BC334" i="12"/>
  <c r="BC332" i="12"/>
  <c r="BC333" i="12"/>
  <c r="BG332" i="12"/>
  <c r="BG333" i="12"/>
  <c r="BI333" i="12"/>
  <c r="BF332" i="12"/>
  <c r="BF333" i="12"/>
  <c r="BE332" i="12"/>
  <c r="BI332" i="12"/>
  <c r="BE331" i="12"/>
  <c r="BE330" i="12"/>
  <c r="BI331" i="12"/>
  <c r="BI330" i="12"/>
  <c r="BG331" i="12"/>
  <c r="BG330" i="12"/>
  <c r="BC331" i="12"/>
  <c r="BC330" i="12"/>
  <c r="BF331" i="12"/>
  <c r="BF330" i="12"/>
  <c r="BG329" i="12"/>
  <c r="BI329" i="12"/>
  <c r="BC328" i="12"/>
  <c r="BC329" i="12"/>
  <c r="BE328" i="12"/>
  <c r="BE329" i="12"/>
  <c r="BF328" i="12"/>
  <c r="BF329" i="12"/>
  <c r="BG328" i="12"/>
  <c r="BI328" i="12"/>
  <c r="BC326" i="12"/>
  <c r="BC327" i="12"/>
  <c r="BG327" i="12"/>
  <c r="BE326" i="12"/>
  <c r="BE327" i="12"/>
  <c r="BF326" i="12"/>
  <c r="BF327" i="12"/>
  <c r="BI327" i="12"/>
  <c r="BG326" i="12"/>
  <c r="BI326" i="12"/>
  <c r="BI325" i="12"/>
  <c r="BE325" i="12"/>
  <c r="BF324" i="12"/>
  <c r="BF325" i="12"/>
  <c r="BC324" i="12"/>
  <c r="BC325" i="12"/>
  <c r="BG324" i="12"/>
  <c r="BG325" i="12"/>
  <c r="BE324" i="12"/>
  <c r="BI324" i="12"/>
  <c r="BC322" i="12"/>
  <c r="BC323" i="12"/>
  <c r="BG322" i="12"/>
  <c r="BG323" i="12"/>
  <c r="BF322" i="12"/>
  <c r="BF323" i="12"/>
  <c r="BE322" i="12"/>
  <c r="BE323" i="12"/>
  <c r="BI323" i="12"/>
  <c r="BI322" i="12"/>
  <c r="BI321" i="12"/>
  <c r="BH321" i="12"/>
  <c r="BG321" i="12"/>
  <c r="BE321" i="12"/>
  <c r="BC320" i="12"/>
  <c r="BC321" i="12"/>
  <c r="BF320" i="12"/>
  <c r="BF321" i="12"/>
  <c r="BH320" i="12"/>
  <c r="BG320" i="12"/>
  <c r="BE320" i="12"/>
  <c r="BI320" i="12"/>
  <c r="BI318" i="12"/>
  <c r="BI319" i="12"/>
  <c r="BG318" i="12"/>
  <c r="BG319" i="12"/>
  <c r="BH318" i="12"/>
  <c r="BH319" i="12"/>
  <c r="BE319" i="12"/>
  <c r="BC318" i="12"/>
  <c r="BC319" i="12"/>
  <c r="BF318" i="12"/>
  <c r="BF319" i="12"/>
  <c r="BE318" i="12"/>
  <c r="BG317" i="12"/>
  <c r="BH317" i="12"/>
  <c r="BC316" i="12"/>
  <c r="BC317" i="12"/>
  <c r="BF316" i="12"/>
  <c r="BF317" i="12"/>
  <c r="BE316" i="12"/>
  <c r="BE317" i="12"/>
  <c r="BI317" i="12"/>
  <c r="BI316" i="12"/>
  <c r="BH316" i="12"/>
  <c r="BG316" i="12"/>
  <c r="BH315" i="12"/>
  <c r="BH314" i="12"/>
  <c r="BH313" i="12"/>
  <c r="BH312" i="12"/>
  <c r="BH311" i="12"/>
  <c r="BE315" i="12"/>
  <c r="BI315" i="12"/>
  <c r="BG315" i="12"/>
  <c r="BF314" i="12"/>
  <c r="BF315" i="12"/>
  <c r="BC314" i="12"/>
  <c r="BC315" i="12"/>
  <c r="BE314" i="12"/>
  <c r="BG313" i="12"/>
  <c r="BG314" i="12"/>
  <c r="BI314" i="12"/>
  <c r="BE313" i="12"/>
  <c r="BF312" i="12"/>
  <c r="BF313" i="12"/>
  <c r="BI313" i="12"/>
  <c r="BC312" i="12"/>
  <c r="BC313" i="12"/>
  <c r="BG312" i="12"/>
  <c r="BE312" i="12"/>
  <c r="BI312" i="12"/>
  <c r="BC310" i="12"/>
  <c r="BC311" i="12"/>
  <c r="BG310" i="12"/>
  <c r="BG311" i="12"/>
  <c r="BF310" i="12"/>
  <c r="BF311" i="12"/>
  <c r="BE311" i="12"/>
  <c r="BI311" i="12"/>
  <c r="BI310" i="12"/>
  <c r="BH310" i="12"/>
  <c r="BE310" i="12"/>
  <c r="BH309" i="12"/>
  <c r="BH308" i="12"/>
  <c r="BH307" i="12"/>
  <c r="BH306" i="12"/>
  <c r="BH305" i="12"/>
  <c r="BH304" i="12"/>
  <c r="BE309" i="12"/>
  <c r="BF308" i="12"/>
  <c r="BF309" i="12"/>
  <c r="BC308" i="12"/>
  <c r="BC309" i="12"/>
  <c r="BG308" i="12"/>
  <c r="BG309" i="12"/>
  <c r="BI309" i="12"/>
  <c r="BE308" i="12"/>
  <c r="BI308" i="12"/>
  <c r="BC306" i="12"/>
  <c r="BC307" i="12"/>
  <c r="BF306" i="12"/>
  <c r="BF307" i="12"/>
  <c r="BG306" i="12"/>
  <c r="BG307" i="12"/>
  <c r="BE307" i="12"/>
  <c r="BI307" i="12"/>
  <c r="BE306" i="12"/>
  <c r="BI306" i="12"/>
  <c r="BC304" i="12"/>
  <c r="BC305" i="12"/>
  <c r="BG305" i="12"/>
  <c r="BF304" i="12"/>
  <c r="BF305" i="12"/>
  <c r="BE304" i="12"/>
  <c r="BE305" i="12"/>
  <c r="BI305" i="12"/>
  <c r="BI304" i="12"/>
  <c r="BG304" i="12"/>
  <c r="BI303" i="12"/>
  <c r="BG303" i="12"/>
  <c r="BH303" i="12"/>
  <c r="BH302" i="12"/>
  <c r="BH301" i="12"/>
  <c r="BH300" i="12"/>
  <c r="BH299" i="12"/>
  <c r="BC302" i="12"/>
  <c r="BC303" i="12"/>
  <c r="BF302" i="12"/>
  <c r="BF303" i="12"/>
  <c r="BE302" i="12"/>
  <c r="BE303" i="12"/>
  <c r="BG301" i="12"/>
  <c r="BG302" i="12"/>
  <c r="BI302" i="12"/>
  <c r="BE301" i="12"/>
  <c r="BF300" i="12"/>
  <c r="BF301" i="12"/>
  <c r="BI301" i="12"/>
  <c r="BC300" i="12"/>
  <c r="BC301" i="12"/>
  <c r="BE300" i="12"/>
  <c r="BG299" i="12"/>
  <c r="BG300" i="12"/>
  <c r="BI300" i="12"/>
  <c r="BF298" i="12"/>
  <c r="BF299" i="12"/>
  <c r="BE298" i="12"/>
  <c r="BE299" i="12"/>
  <c r="BI299" i="12"/>
  <c r="BC298" i="12"/>
  <c r="BC299" i="12"/>
  <c r="BH298" i="12"/>
  <c r="BG298" i="12"/>
  <c r="BI298" i="12"/>
  <c r="BE297" i="12"/>
  <c r="BG297" i="12"/>
  <c r="BH297" i="12"/>
  <c r="BH296" i="12"/>
  <c r="BF296" i="12"/>
  <c r="BF297" i="12"/>
  <c r="BC296" i="12"/>
  <c r="BC297" i="12"/>
  <c r="BI297" i="12"/>
  <c r="BG296" i="12"/>
  <c r="BE296" i="12"/>
  <c r="BI296" i="12"/>
  <c r="BH295" i="12"/>
  <c r="BG295" i="12"/>
  <c r="BE295" i="12"/>
  <c r="BC294" i="12"/>
  <c r="BC295" i="12"/>
  <c r="BF294" i="12"/>
  <c r="BF295" i="12"/>
  <c r="BI295" i="12"/>
  <c r="BI294" i="12"/>
  <c r="BG294" i="12"/>
  <c r="BH294" i="12"/>
  <c r="BE294" i="12"/>
  <c r="BH284" i="12"/>
  <c r="BH292" i="12"/>
  <c r="BH285" i="12"/>
  <c r="BH286" i="12"/>
  <c r="BH293" i="12"/>
  <c r="BH287" i="12"/>
  <c r="BH291" i="12"/>
  <c r="BH288" i="12"/>
  <c r="BH289" i="12"/>
  <c r="BH290" i="12"/>
  <c r="BI293" i="12"/>
  <c r="BI289" i="12"/>
  <c r="BI285" i="12"/>
  <c r="BI288" i="12"/>
  <c r="BI292" i="12"/>
  <c r="BI284" i="12"/>
  <c r="BI290" i="12"/>
  <c r="BI291" i="12"/>
  <c r="BI286" i="12"/>
  <c r="BI287" i="12"/>
  <c r="BG293" i="12"/>
  <c r="BG284" i="12"/>
  <c r="BG288" i="12"/>
  <c r="BG285" i="12"/>
  <c r="BG289" i="12"/>
  <c r="BG286" i="12"/>
  <c r="BG290" i="12"/>
  <c r="BG292" i="12"/>
  <c r="BG287" i="12"/>
  <c r="BG291" i="12"/>
  <c r="BE286" i="12"/>
  <c r="BE290" i="12"/>
  <c r="BE287" i="12"/>
  <c r="BE291" i="12"/>
  <c r="BE285" i="12"/>
  <c r="BE289" i="12"/>
  <c r="BE293" i="12"/>
  <c r="BE284" i="12"/>
  <c r="BE288" i="12"/>
  <c r="BE292" i="12"/>
  <c r="BC287" i="12"/>
  <c r="BC291" i="12"/>
  <c r="BC284" i="12"/>
  <c r="BC288" i="12"/>
  <c r="BC292" i="12"/>
  <c r="BC285" i="12"/>
  <c r="BC289" i="12"/>
  <c r="BC293" i="12"/>
  <c r="BC286" i="12"/>
  <c r="BC290" i="12"/>
  <c r="BF286" i="12"/>
  <c r="BF290" i="12"/>
  <c r="BF285" i="12"/>
  <c r="BF287" i="12"/>
  <c r="BF291" i="12"/>
  <c r="BF284" i="12"/>
  <c r="BF288" i="12"/>
  <c r="BF292" i="12"/>
  <c r="BF289" i="12"/>
  <c r="BF293" i="12"/>
  <c r="BH283" i="12"/>
  <c r="BH282" i="12"/>
  <c r="BE283" i="12"/>
  <c r="BG282" i="12"/>
  <c r="BG283" i="12"/>
  <c r="BI283" i="12"/>
  <c r="BF282" i="12"/>
  <c r="BF283" i="12"/>
  <c r="BC282" i="12"/>
  <c r="BC283" i="12"/>
  <c r="BE282" i="12"/>
  <c r="BI282" i="12"/>
  <c r="BI281" i="12"/>
  <c r="BH281" i="12"/>
  <c r="BG281" i="12"/>
  <c r="BE281" i="12"/>
  <c r="BF280" i="12"/>
  <c r="BF281" i="12"/>
  <c r="BC280" i="12"/>
  <c r="BC281" i="12"/>
  <c r="BE280" i="12"/>
  <c r="BH280" i="12"/>
  <c r="BG280" i="12"/>
  <c r="BI280" i="12"/>
  <c r="BH279" i="12"/>
  <c r="BC278" i="12"/>
  <c r="BC279" i="12"/>
  <c r="BG279" i="12"/>
  <c r="BE279" i="12"/>
  <c r="BF278" i="12"/>
  <c r="BF279" i="12"/>
  <c r="BI279" i="12"/>
  <c r="BI278" i="12"/>
  <c r="BG278" i="12"/>
  <c r="BH278" i="12"/>
  <c r="BE277" i="12"/>
  <c r="BE278" i="12"/>
  <c r="BG277" i="12"/>
  <c r="BH277" i="12"/>
  <c r="BF276" i="12"/>
  <c r="BF277" i="12"/>
  <c r="BC276" i="12"/>
  <c r="BC277" i="12"/>
  <c r="BI277" i="12"/>
  <c r="BI275" i="12"/>
  <c r="BI276" i="12"/>
  <c r="BG276" i="12"/>
  <c r="BG275" i="12"/>
  <c r="BE276" i="12"/>
  <c r="BH275" i="12"/>
  <c r="BH276" i="12"/>
  <c r="BE275" i="12"/>
  <c r="BC274" i="12"/>
  <c r="BC275" i="12"/>
  <c r="BF274" i="12"/>
  <c r="BF275" i="12"/>
  <c r="BI274" i="12"/>
  <c r="BG274" i="12"/>
  <c r="BH274" i="12"/>
  <c r="BE274" i="12"/>
  <c r="BH273" i="12"/>
  <c r="BF272" i="12"/>
  <c r="BF273" i="12"/>
  <c r="BC272" i="12"/>
  <c r="BC273" i="12"/>
  <c r="BG273" i="12"/>
  <c r="BE272" i="12"/>
  <c r="BE273" i="12"/>
  <c r="BI273" i="12"/>
  <c r="BH272" i="12"/>
  <c r="BG272" i="12"/>
  <c r="BI272" i="12"/>
  <c r="BH271" i="12"/>
  <c r="BH270" i="12"/>
  <c r="BE271" i="12"/>
  <c r="BC270" i="12"/>
  <c r="BC271" i="12"/>
  <c r="BG271" i="12"/>
  <c r="BF270" i="12"/>
  <c r="BF271" i="12"/>
  <c r="BI271" i="12"/>
  <c r="BE270" i="12"/>
  <c r="BG269" i="12"/>
  <c r="BG270" i="12"/>
  <c r="BI270" i="12"/>
  <c r="BI269" i="12"/>
  <c r="BC268" i="12"/>
  <c r="BC269" i="12"/>
  <c r="BH269" i="12"/>
  <c r="BF268" i="12"/>
  <c r="BF269" i="12"/>
  <c r="BE269" i="12"/>
  <c r="BH268" i="12"/>
  <c r="BH267" i="12"/>
  <c r="BH266" i="12"/>
  <c r="BG268" i="12"/>
  <c r="BE268" i="12"/>
  <c r="BI268" i="12"/>
  <c r="BE267" i="12"/>
  <c r="BC266" i="12"/>
  <c r="BC267" i="12"/>
  <c r="BF266" i="12"/>
  <c r="BF267" i="12"/>
  <c r="BG267" i="12"/>
  <c r="BI267" i="12"/>
  <c r="BI266" i="12"/>
  <c r="BG266" i="12"/>
  <c r="BE266" i="12"/>
  <c r="BH264" i="12"/>
  <c r="BH265" i="12"/>
  <c r="BH263" i="12"/>
  <c r="BH262" i="12"/>
  <c r="BH261" i="12"/>
  <c r="BG265" i="12"/>
  <c r="BE265" i="12"/>
  <c r="BF264" i="12"/>
  <c r="BF265" i="12"/>
  <c r="BC264" i="12"/>
  <c r="BC265" i="12"/>
  <c r="BI265" i="12"/>
  <c r="BI264" i="12"/>
  <c r="BG263" i="12"/>
  <c r="BG264" i="12"/>
  <c r="BE264" i="12"/>
  <c r="BE263" i="12"/>
  <c r="BC262" i="12"/>
  <c r="BC263" i="12"/>
  <c r="BF262" i="12"/>
  <c r="BF263" i="12"/>
  <c r="BI263" i="12"/>
  <c r="BE262" i="12"/>
  <c r="BG262" i="12"/>
  <c r="BI262" i="12"/>
  <c r="BG261" i="12"/>
  <c r="BC260" i="12"/>
  <c r="BC261" i="12"/>
  <c r="BE260" i="12"/>
  <c r="BE261" i="12"/>
  <c r="BF260" i="12"/>
  <c r="BF261" i="12"/>
  <c r="BI261" i="12"/>
  <c r="BH260" i="12"/>
  <c r="BH259" i="12"/>
  <c r="BH257" i="12"/>
  <c r="BH258" i="12"/>
  <c r="BH256" i="12"/>
  <c r="BH255" i="12"/>
  <c r="BH254" i="12"/>
  <c r="BH253" i="12"/>
  <c r="BH252" i="12"/>
  <c r="BH251" i="12"/>
  <c r="BH250" i="12"/>
  <c r="BH249" i="12"/>
  <c r="BH248" i="12"/>
  <c r="BH247" i="12"/>
  <c r="BH246" i="12"/>
  <c r="BG259" i="12"/>
  <c r="BG260" i="12"/>
  <c r="BI260" i="12"/>
  <c r="BE258" i="12"/>
  <c r="BE259" i="12"/>
  <c r="BI259" i="12"/>
  <c r="BF258" i="12"/>
  <c r="BF259" i="12"/>
  <c r="BC258" i="12"/>
  <c r="BC259" i="12"/>
  <c r="BG258" i="12"/>
  <c r="BI258" i="12"/>
  <c r="BE257" i="12"/>
  <c r="BG257" i="12"/>
  <c r="BF256" i="12"/>
  <c r="BF257" i="12"/>
  <c r="BC256" i="12"/>
  <c r="BC257" i="12"/>
  <c r="BI257" i="12"/>
  <c r="BG256" i="12"/>
  <c r="BE256" i="12"/>
  <c r="BI256" i="12"/>
  <c r="BE255" i="12"/>
  <c r="BF254" i="12"/>
  <c r="BF255" i="12"/>
  <c r="BC254" i="12"/>
  <c r="BC255" i="12"/>
  <c r="BG255" i="12"/>
  <c r="BI255" i="12"/>
  <c r="BI254" i="12"/>
  <c r="BG254" i="12"/>
  <c r="BE254" i="12"/>
  <c r="BC252" i="12"/>
  <c r="BC253" i="12"/>
  <c r="BG253" i="12"/>
  <c r="BE252" i="12"/>
  <c r="BE253" i="12"/>
  <c r="BF252" i="12"/>
  <c r="BF253" i="12"/>
  <c r="BI253" i="12"/>
  <c r="BG252" i="12"/>
  <c r="BI252" i="12"/>
  <c r="BG251" i="12"/>
  <c r="BE251" i="12"/>
  <c r="BF250" i="12"/>
  <c r="BF251" i="12"/>
  <c r="BC250" i="12"/>
  <c r="BC251" i="12"/>
  <c r="BI251" i="12"/>
  <c r="BG250" i="12"/>
  <c r="BE249" i="12"/>
  <c r="BE250" i="12"/>
  <c r="BI250" i="12"/>
  <c r="BG249" i="12"/>
  <c r="BF248" i="12"/>
  <c r="BF249" i="12"/>
  <c r="BC248" i="12"/>
  <c r="BC249" i="12"/>
  <c r="BI249" i="12"/>
  <c r="BI248" i="12"/>
  <c r="BG248" i="12"/>
  <c r="BE248" i="12"/>
  <c r="BE247" i="12"/>
  <c r="BF246" i="12"/>
  <c r="BF247" i="12"/>
  <c r="BG247" i="12"/>
  <c r="BC246" i="12"/>
  <c r="BC247" i="12"/>
  <c r="BI247" i="12"/>
  <c r="BG246" i="12"/>
  <c r="BI246" i="12"/>
  <c r="BE246" i="12"/>
  <c r="BI245" i="12"/>
  <c r="BG245" i="12"/>
  <c r="BF244" i="12"/>
  <c r="BF245" i="12"/>
  <c r="BC244" i="12"/>
  <c r="BC245" i="12"/>
  <c r="BH245" i="12"/>
  <c r="BE245" i="12"/>
  <c r="BH234" i="12"/>
  <c r="BH242" i="12"/>
  <c r="BH240" i="12"/>
  <c r="BH235" i="12"/>
  <c r="BH241" i="12"/>
  <c r="BH239" i="12"/>
  <c r="BH244" i="12"/>
  <c r="BH237" i="12"/>
  <c r="BH243" i="12"/>
  <c r="BH238" i="12"/>
  <c r="BH236" i="12"/>
  <c r="BH232" i="12"/>
  <c r="BH230" i="12"/>
  <c r="BH231" i="12"/>
  <c r="BH233" i="12"/>
  <c r="BG244" i="12"/>
  <c r="BE244" i="12"/>
  <c r="BI244" i="12"/>
  <c r="BC236" i="12"/>
  <c r="BC228" i="12"/>
  <c r="BC233" i="12"/>
  <c r="BC240" i="12"/>
  <c r="BC231" i="12"/>
  <c r="BC237" i="12"/>
  <c r="BC243" i="12"/>
  <c r="BC235" i="12"/>
  <c r="BC227" i="12"/>
  <c r="BC241" i="12"/>
  <c r="BC232" i="12"/>
  <c r="BC230" i="12"/>
  <c r="BC229" i="12"/>
  <c r="BC242" i="12"/>
  <c r="BC234" i="12"/>
  <c r="BC239" i="12"/>
  <c r="BC238" i="12"/>
  <c r="BI233" i="12"/>
  <c r="BI238" i="12"/>
  <c r="BI236" i="12"/>
  <c r="BI237" i="12"/>
  <c r="BI243" i="12"/>
  <c r="BI235" i="12"/>
  <c r="BI242" i="12"/>
  <c r="BI234" i="12"/>
  <c r="BI232" i="12"/>
  <c r="BE233" i="12"/>
  <c r="BE237" i="12"/>
  <c r="BE241" i="12"/>
  <c r="BE230" i="12"/>
  <c r="BE234" i="12"/>
  <c r="BE238" i="12"/>
  <c r="BE242" i="12"/>
  <c r="BE231" i="12"/>
  <c r="BE235" i="12"/>
  <c r="BE239" i="12"/>
  <c r="BE243" i="12"/>
  <c r="BE232" i="12"/>
  <c r="BE236" i="12"/>
  <c r="BE240" i="12"/>
  <c r="BF232" i="12"/>
  <c r="BF236" i="12"/>
  <c r="BF240" i="12"/>
  <c r="BF233" i="12"/>
  <c r="BF237" i="12"/>
  <c r="BF241" i="12"/>
  <c r="BF230" i="12"/>
  <c r="BF234" i="12"/>
  <c r="BF238" i="12"/>
  <c r="BF242" i="12"/>
  <c r="BF231" i="12"/>
  <c r="BF235" i="12"/>
  <c r="BF239" i="12"/>
  <c r="BF243" i="12"/>
  <c r="BI240" i="12"/>
  <c r="BI230" i="12"/>
  <c r="BI239" i="12"/>
  <c r="BG236" i="12"/>
  <c r="BG233" i="12"/>
  <c r="BG237" i="12"/>
  <c r="BG241" i="12"/>
  <c r="BG230" i="12"/>
  <c r="BG234" i="12"/>
  <c r="BG238" i="12"/>
  <c r="BG242" i="12"/>
  <c r="BG231" i="12"/>
  <c r="BG235" i="12"/>
  <c r="BG239" i="12"/>
  <c r="BG243" i="12"/>
  <c r="BG232" i="12"/>
  <c r="BG240" i="12"/>
  <c r="BI241" i="12"/>
  <c r="BI231" i="12"/>
  <c r="BH229" i="12"/>
  <c r="BH228" i="12"/>
  <c r="BH227" i="12"/>
  <c r="BH226" i="12"/>
  <c r="BH225" i="12"/>
  <c r="BH223" i="12"/>
  <c r="BH224" i="12"/>
  <c r="BH222" i="12"/>
  <c r="BH221" i="12"/>
  <c r="BH220" i="12"/>
  <c r="BH219" i="12"/>
  <c r="BH218" i="12"/>
  <c r="BH217" i="12"/>
  <c r="BH216" i="12"/>
  <c r="BH215" i="12"/>
  <c r="BH214" i="12"/>
  <c r="BH213" i="12"/>
  <c r="BH212" i="12"/>
  <c r="BH211" i="12"/>
  <c r="BH209" i="12"/>
  <c r="BH210" i="12"/>
  <c r="BF229" i="12"/>
  <c r="BG229" i="12"/>
  <c r="BE229" i="12"/>
  <c r="BI229" i="12"/>
  <c r="BE228" i="12"/>
  <c r="BF227" i="12"/>
  <c r="BF228" i="12"/>
  <c r="BG228" i="12"/>
  <c r="BI228" i="12"/>
  <c r="BG227" i="12"/>
  <c r="BE227" i="12"/>
  <c r="BI227" i="12"/>
  <c r="BC225" i="12"/>
  <c r="BC226" i="12"/>
  <c r="BE226" i="12"/>
  <c r="BF225" i="12"/>
  <c r="BF226" i="12"/>
  <c r="BG226" i="12"/>
  <c r="BI226" i="12"/>
  <c r="BE225" i="12"/>
  <c r="BG225" i="12"/>
  <c r="BI225" i="12"/>
  <c r="BF223" i="12"/>
  <c r="BF224" i="12"/>
  <c r="BC223" i="12"/>
  <c r="BC224" i="12"/>
  <c r="BE224" i="12"/>
  <c r="BG224" i="12"/>
  <c r="BI224" i="12"/>
  <c r="BG223" i="12"/>
  <c r="BE223" i="12"/>
  <c r="BI223" i="12"/>
  <c r="BE222" i="12"/>
  <c r="BG222" i="12"/>
  <c r="BC217" i="12"/>
  <c r="BC218" i="12"/>
  <c r="BC219" i="12"/>
  <c r="BC220" i="12"/>
  <c r="BC221" i="12"/>
  <c r="BC222" i="12"/>
  <c r="BF221" i="12"/>
  <c r="BF222" i="12"/>
  <c r="BI222" i="12"/>
  <c r="BE221" i="12"/>
  <c r="BG221" i="12"/>
  <c r="BI221" i="12"/>
  <c r="BE219" i="12"/>
  <c r="BE220" i="12"/>
  <c r="BG220" i="12"/>
  <c r="BI220" i="12"/>
  <c r="BF219" i="12"/>
  <c r="BF220" i="12"/>
  <c r="BG219" i="12"/>
  <c r="BI219" i="12"/>
  <c r="BG218" i="12"/>
  <c r="BI218" i="12"/>
  <c r="BF217" i="12"/>
  <c r="BF218" i="12"/>
  <c r="BE218" i="12"/>
  <c r="BE217" i="12"/>
  <c r="BG217" i="12"/>
  <c r="BI217" i="12"/>
  <c r="BC214" i="12"/>
  <c r="BC215" i="12"/>
  <c r="BC216" i="12"/>
  <c r="BI216" i="12"/>
  <c r="BF215" i="12"/>
  <c r="BF216" i="12"/>
  <c r="BE215" i="12"/>
  <c r="BE216" i="12"/>
  <c r="BG215" i="12"/>
  <c r="BG216" i="12"/>
  <c r="BI215" i="12"/>
  <c r="BF213" i="12"/>
  <c r="BF214" i="12"/>
  <c r="BE213" i="12"/>
  <c r="BE214" i="12"/>
  <c r="BG214" i="12"/>
  <c r="BI214" i="12"/>
  <c r="BG213" i="12"/>
  <c r="BC209" i="12"/>
  <c r="BC213" i="12"/>
  <c r="BC211" i="12"/>
  <c r="BC208" i="12"/>
  <c r="BC212" i="12"/>
  <c r="BC210" i="12"/>
  <c r="BI213" i="12"/>
  <c r="BE212" i="12"/>
  <c r="BF211" i="12"/>
  <c r="BF212" i="12"/>
  <c r="BI212" i="12"/>
  <c r="BG212" i="12"/>
  <c r="BG211" i="12"/>
  <c r="BE211" i="12"/>
  <c r="BI211" i="12"/>
  <c r="BI210" i="12"/>
  <c r="BI209" i="12"/>
  <c r="BG209" i="12"/>
  <c r="BG210" i="12"/>
  <c r="BF208" i="12"/>
  <c r="BF210" i="12"/>
  <c r="BF209" i="12"/>
  <c r="BE210" i="12"/>
  <c r="BE209" i="12"/>
  <c r="BG208" i="12"/>
  <c r="BI208" i="12"/>
  <c r="BH208" i="12"/>
  <c r="BE208" i="12"/>
  <c r="BC192" i="12"/>
  <c r="BC196" i="12"/>
  <c r="BC200" i="12"/>
  <c r="BC204" i="12"/>
  <c r="BC193" i="12"/>
  <c r="BC197" i="12"/>
  <c r="BC201" i="12"/>
  <c r="BC205" i="12"/>
  <c r="BC202" i="12"/>
  <c r="BC206" i="12"/>
  <c r="BC195" i="12"/>
  <c r="BC199" i="12"/>
  <c r="BC207" i="12"/>
  <c r="BC194" i="12"/>
  <c r="BC198" i="12"/>
  <c r="BC203" i="12"/>
  <c r="BH207" i="12"/>
  <c r="BH206" i="12"/>
  <c r="BH205" i="12"/>
  <c r="BH204" i="12"/>
  <c r="BH203" i="12"/>
  <c r="BH202" i="12"/>
  <c r="BH201" i="12"/>
  <c r="BH200" i="12"/>
  <c r="BG207" i="12"/>
  <c r="BF206" i="12"/>
  <c r="BF207" i="12"/>
  <c r="BE207" i="12"/>
  <c r="BI207" i="12"/>
  <c r="BI206" i="12"/>
  <c r="BE206" i="12"/>
  <c r="BG206" i="12"/>
  <c r="BE205" i="12"/>
  <c r="BG205" i="12"/>
  <c r="BF204" i="12"/>
  <c r="BF205" i="12"/>
  <c r="BI205" i="12"/>
  <c r="BE204" i="12"/>
  <c r="BG204" i="12"/>
  <c r="BI204" i="12"/>
  <c r="BE203" i="12"/>
  <c r="BI203" i="12"/>
  <c r="BG203" i="12"/>
  <c r="BF202" i="12"/>
  <c r="BF203" i="12"/>
  <c r="BG202" i="12"/>
  <c r="BE202" i="12"/>
  <c r="BI202" i="12"/>
  <c r="BI201" i="12"/>
  <c r="BE201" i="12"/>
  <c r="BG200" i="12"/>
  <c r="BG201" i="12"/>
  <c r="BF200" i="12"/>
  <c r="BF201" i="12"/>
  <c r="BE200" i="12"/>
  <c r="BI200" i="12"/>
  <c r="BI198" i="12"/>
  <c r="BI162" i="12"/>
  <c r="BI180" i="12"/>
  <c r="BI148" i="12"/>
  <c r="BI116" i="12"/>
  <c r="BI51" i="12"/>
  <c r="BI19" i="12"/>
  <c r="BI142" i="12"/>
  <c r="BI110" i="12"/>
  <c r="BI102" i="12"/>
  <c r="BI94" i="12"/>
  <c r="BI86" i="12"/>
  <c r="BI69" i="12"/>
  <c r="BI37" i="12"/>
  <c r="BI190" i="12"/>
  <c r="BI176" i="12"/>
  <c r="BI144" i="12"/>
  <c r="BI112" i="12"/>
  <c r="BI55" i="12"/>
  <c r="BI23" i="12"/>
  <c r="BI154" i="12"/>
  <c r="BI114" i="12"/>
  <c r="BI101" i="12"/>
  <c r="BI93" i="12"/>
  <c r="BI85" i="12"/>
  <c r="BI65" i="12"/>
  <c r="BI33" i="12"/>
  <c r="BI9" i="12"/>
  <c r="BI80" i="12"/>
  <c r="BI70" i="12"/>
  <c r="BI62" i="12"/>
  <c r="BI54" i="12"/>
  <c r="BI46" i="12"/>
  <c r="BI38" i="12"/>
  <c r="BI30" i="12"/>
  <c r="BI22" i="12"/>
  <c r="BI14" i="12"/>
  <c r="BI6" i="12"/>
  <c r="BI195" i="12"/>
  <c r="BI187" i="12"/>
  <c r="BI179" i="12"/>
  <c r="BI171" i="12"/>
  <c r="BI163" i="12"/>
  <c r="BI155" i="12"/>
  <c r="BI147" i="12"/>
  <c r="BI139" i="12"/>
  <c r="BI131" i="12"/>
  <c r="BI123" i="12"/>
  <c r="BI115" i="12"/>
  <c r="BI194" i="12"/>
  <c r="BI146" i="12"/>
  <c r="BI172" i="12"/>
  <c r="BI140" i="12"/>
  <c r="BI77" i="12"/>
  <c r="BI43" i="12"/>
  <c r="BI166" i="12"/>
  <c r="BI134" i="12"/>
  <c r="BI108" i="12"/>
  <c r="BI100" i="12"/>
  <c r="BI92" i="12"/>
  <c r="BI84" i="12"/>
  <c r="BI61" i="12"/>
  <c r="BI29" i="12"/>
  <c r="BI174" i="12"/>
  <c r="BI168" i="12"/>
  <c r="BI136" i="12"/>
  <c r="BI81" i="12"/>
  <c r="BI47" i="12"/>
  <c r="BI15" i="12"/>
  <c r="BI138" i="12"/>
  <c r="BI107" i="12"/>
  <c r="BI99" i="12"/>
  <c r="BI91" i="12"/>
  <c r="BI83" i="12"/>
  <c r="BI57" i="12"/>
  <c r="BI25" i="12"/>
  <c r="BI7" i="12"/>
  <c r="BI78" i="12"/>
  <c r="BI68" i="12"/>
  <c r="BI60" i="12"/>
  <c r="BI52" i="12"/>
  <c r="BI44" i="12"/>
  <c r="BI36" i="12"/>
  <c r="BI28" i="12"/>
  <c r="BI20" i="12"/>
  <c r="BI12" i="12"/>
  <c r="BI4" i="12"/>
  <c r="BI193" i="12"/>
  <c r="BI185" i="12"/>
  <c r="BI177" i="12"/>
  <c r="BI169" i="12"/>
  <c r="BI161" i="12"/>
  <c r="BI153" i="12"/>
  <c r="BI145" i="12"/>
  <c r="BI137" i="12"/>
  <c r="BI129" i="12"/>
  <c r="BI121" i="12"/>
  <c r="BI113" i="12"/>
  <c r="BI186" i="12"/>
  <c r="BI196" i="12"/>
  <c r="BI164" i="12"/>
  <c r="BI132" i="12"/>
  <c r="BI67" i="12"/>
  <c r="BI35" i="12"/>
  <c r="BI158" i="12"/>
  <c r="BI126" i="12"/>
  <c r="BI106" i="12"/>
  <c r="BI98" i="12"/>
  <c r="BI90" i="12"/>
  <c r="BI79" i="12"/>
  <c r="BI53" i="12"/>
  <c r="BI21" i="12"/>
  <c r="BI192" i="12"/>
  <c r="BI160" i="12"/>
  <c r="BI128" i="12"/>
  <c r="BI71" i="12"/>
  <c r="BI39" i="12"/>
  <c r="BI182" i="12"/>
  <c r="BI130" i="12"/>
  <c r="BI105" i="12"/>
  <c r="BI97" i="12"/>
  <c r="BI89" i="12"/>
  <c r="BI75" i="12"/>
  <c r="BI49" i="12"/>
  <c r="BI17" i="12"/>
  <c r="BI5" i="12"/>
  <c r="BI76" i="12"/>
  <c r="BI66" i="12"/>
  <c r="BI58" i="12"/>
  <c r="BI50" i="12"/>
  <c r="BI42" i="12"/>
  <c r="BI34" i="12"/>
  <c r="BI26" i="12"/>
  <c r="BI18" i="12"/>
  <c r="BI10" i="12"/>
  <c r="BI199" i="12"/>
  <c r="BI191" i="12"/>
  <c r="BI183" i="12"/>
  <c r="BI175" i="12"/>
  <c r="BI167" i="12"/>
  <c r="BI159" i="12"/>
  <c r="BI151" i="12"/>
  <c r="BI143" i="12"/>
  <c r="BI135" i="12"/>
  <c r="BI127" i="12"/>
  <c r="BI119" i="12"/>
  <c r="BI111" i="12"/>
  <c r="BI170" i="12"/>
  <c r="BI188" i="12"/>
  <c r="BI156" i="12"/>
  <c r="BI124" i="12"/>
  <c r="BI59" i="12"/>
  <c r="BI27" i="12"/>
  <c r="BI150" i="12"/>
  <c r="BI118" i="12"/>
  <c r="BI104" i="12"/>
  <c r="BI96" i="12"/>
  <c r="BI88" i="12"/>
  <c r="BI74" i="12"/>
  <c r="BI45" i="12"/>
  <c r="BI13" i="12"/>
  <c r="BI184" i="12"/>
  <c r="BI152" i="12"/>
  <c r="BI120" i="12"/>
  <c r="BI63" i="12"/>
  <c r="BI31" i="12"/>
  <c r="BI178" i="12"/>
  <c r="BI122" i="12"/>
  <c r="BI103" i="12"/>
  <c r="BI95" i="12"/>
  <c r="BI87" i="12"/>
  <c r="BI73" i="12"/>
  <c r="BI41" i="12"/>
  <c r="BI11" i="12"/>
  <c r="BI82" i="12"/>
  <c r="BI72" i="12"/>
  <c r="BI64" i="12"/>
  <c r="BI56" i="12"/>
  <c r="BI48" i="12"/>
  <c r="BI40" i="12"/>
  <c r="BI32" i="12"/>
  <c r="BI24" i="12"/>
  <c r="BI16" i="12"/>
  <c r="BI8" i="12"/>
  <c r="BI197" i="12"/>
  <c r="BI189" i="12"/>
  <c r="BI181" i="12"/>
  <c r="BI173" i="12"/>
  <c r="BI165" i="12"/>
  <c r="BI157" i="12"/>
  <c r="BI149" i="12"/>
  <c r="BI141" i="12"/>
  <c r="BI133" i="12"/>
  <c r="BI125" i="12"/>
  <c r="BI117" i="12"/>
  <c r="BG5" i="12"/>
  <c r="BG9" i="12"/>
  <c r="BG13" i="12"/>
  <c r="BG17" i="12"/>
  <c r="BG21" i="12"/>
  <c r="BG25" i="12"/>
  <c r="BG29" i="12"/>
  <c r="BG33" i="12"/>
  <c r="BG37" i="12"/>
  <c r="BG41" i="12"/>
  <c r="BG45" i="12"/>
  <c r="BG49" i="12"/>
  <c r="BG53" i="12"/>
  <c r="BG57" i="12"/>
  <c r="BG61" i="12"/>
  <c r="BG65" i="12"/>
  <c r="BG69" i="12"/>
  <c r="BG73" i="12"/>
  <c r="BG77" i="12"/>
  <c r="BG81" i="12"/>
  <c r="BG85" i="12"/>
  <c r="BG89" i="12"/>
  <c r="BG93" i="12"/>
  <c r="BG97" i="12"/>
  <c r="BG101" i="12"/>
  <c r="BG105" i="12"/>
  <c r="BG110" i="12"/>
  <c r="BG114" i="12"/>
  <c r="BG118" i="12"/>
  <c r="BG122" i="12"/>
  <c r="BG126" i="12"/>
  <c r="BG130" i="12"/>
  <c r="BG134" i="12"/>
  <c r="BG138" i="12"/>
  <c r="BG142" i="12"/>
  <c r="BG146" i="12"/>
  <c r="BG150" i="12"/>
  <c r="BG154" i="12"/>
  <c r="BG158" i="12"/>
  <c r="BG162" i="12"/>
  <c r="BG166" i="12"/>
  <c r="BG170" i="12"/>
  <c r="BG174" i="12"/>
  <c r="BG178" i="12"/>
  <c r="BG182" i="12"/>
  <c r="BG186" i="12"/>
  <c r="BG190" i="12"/>
  <c r="BG194" i="12"/>
  <c r="BG198" i="12"/>
  <c r="BG4" i="12"/>
  <c r="BG16" i="12"/>
  <c r="BG24" i="12"/>
  <c r="BG28" i="12"/>
  <c r="BG32" i="12"/>
  <c r="BG40" i="12"/>
  <c r="BG44" i="12"/>
  <c r="BG48" i="12"/>
  <c r="BG56" i="12"/>
  <c r="BG60" i="12"/>
  <c r="BG64" i="12"/>
  <c r="BG68" i="12"/>
  <c r="BG76" i="12"/>
  <c r="BG80" i="12"/>
  <c r="BG88" i="12"/>
  <c r="BG92" i="12"/>
  <c r="BG100" i="12"/>
  <c r="BG104" i="12"/>
  <c r="BG108" i="12"/>
  <c r="BG117" i="12"/>
  <c r="BG121" i="12"/>
  <c r="BG125" i="12"/>
  <c r="BG133" i="12"/>
  <c r="BG137" i="12"/>
  <c r="BG149" i="12"/>
  <c r="BG157" i="12"/>
  <c r="BG161" i="12"/>
  <c r="BG165" i="12"/>
  <c r="BG173" i="12"/>
  <c r="BG177" i="12"/>
  <c r="BG185" i="12"/>
  <c r="BG193" i="12"/>
  <c r="BG197" i="12"/>
  <c r="BG160" i="12"/>
  <c r="BG168" i="12"/>
  <c r="BG180" i="12"/>
  <c r="BG8" i="12"/>
  <c r="BG12" i="12"/>
  <c r="BG20" i="12"/>
  <c r="BG36" i="12"/>
  <c r="BG52" i="12"/>
  <c r="BG72" i="12"/>
  <c r="BG84" i="12"/>
  <c r="BG96" i="12"/>
  <c r="BG109" i="12"/>
  <c r="BG113" i="12"/>
  <c r="BG129" i="12"/>
  <c r="BG141" i="12"/>
  <c r="BG145" i="12"/>
  <c r="BG153" i="12"/>
  <c r="BG169" i="12"/>
  <c r="BG181" i="12"/>
  <c r="BG189" i="12"/>
  <c r="BG156" i="12"/>
  <c r="BG164" i="12"/>
  <c r="BG176" i="12"/>
  <c r="BG7" i="12"/>
  <c r="BG11" i="12"/>
  <c r="BG15" i="12"/>
  <c r="BG19" i="12"/>
  <c r="BG23" i="12"/>
  <c r="BG27" i="12"/>
  <c r="BG31" i="12"/>
  <c r="BG35" i="12"/>
  <c r="BG39" i="12"/>
  <c r="BG43" i="12"/>
  <c r="BG47" i="12"/>
  <c r="BG51" i="12"/>
  <c r="BG55" i="12"/>
  <c r="BG59" i="12"/>
  <c r="BG63" i="12"/>
  <c r="BG67" i="12"/>
  <c r="BG71" i="12"/>
  <c r="BG75" i="12"/>
  <c r="BG79" i="12"/>
  <c r="BG83" i="12"/>
  <c r="BG87" i="12"/>
  <c r="BG91" i="12"/>
  <c r="BG95" i="12"/>
  <c r="BG99" i="12"/>
  <c r="BG103" i="12"/>
  <c r="BG107" i="12"/>
  <c r="BG112" i="12"/>
  <c r="BG116" i="12"/>
  <c r="BG120" i="12"/>
  <c r="BG124" i="12"/>
  <c r="BG128" i="12"/>
  <c r="BG132" i="12"/>
  <c r="BG136" i="12"/>
  <c r="BG140" i="12"/>
  <c r="BG144" i="12"/>
  <c r="BG148" i="12"/>
  <c r="BG152" i="12"/>
  <c r="BG172" i="12"/>
  <c r="BG6" i="12"/>
  <c r="BG10" i="12"/>
  <c r="BG14" i="12"/>
  <c r="BG18" i="12"/>
  <c r="BG22" i="12"/>
  <c r="BG26" i="12"/>
  <c r="BG30" i="12"/>
  <c r="BG34" i="12"/>
  <c r="BG38" i="12"/>
  <c r="BG42" i="12"/>
  <c r="BG46" i="12"/>
  <c r="BG50" i="12"/>
  <c r="BG54" i="12"/>
  <c r="BG58" i="12"/>
  <c r="BG62" i="12"/>
  <c r="BG66" i="12"/>
  <c r="BG70" i="12"/>
  <c r="BG74" i="12"/>
  <c r="BG78" i="12"/>
  <c r="BG82" i="12"/>
  <c r="BG86" i="12"/>
  <c r="BG90" i="12"/>
  <c r="BG94" i="12"/>
  <c r="BG98" i="12"/>
  <c r="BG102" i="12"/>
  <c r="BG106" i="12"/>
  <c r="BG111" i="12"/>
  <c r="BG115" i="12"/>
  <c r="BG119" i="12"/>
  <c r="BG123" i="12"/>
  <c r="BG127" i="12"/>
  <c r="BG131" i="12"/>
  <c r="BG135" i="12"/>
  <c r="BG139" i="12"/>
  <c r="BG143" i="12"/>
  <c r="BG147" i="12"/>
  <c r="BG151" i="12"/>
  <c r="BG155" i="12"/>
  <c r="BG159" i="12"/>
  <c r="BG163" i="12"/>
  <c r="BG179" i="12"/>
  <c r="BG184" i="12"/>
  <c r="BG192" i="12"/>
  <c r="BG167" i="12"/>
  <c r="BG183" i="12"/>
  <c r="BG191" i="12"/>
  <c r="BG199" i="12"/>
  <c r="BG171" i="12"/>
  <c r="BG188" i="12"/>
  <c r="BG196" i="12"/>
  <c r="BG175" i="12"/>
  <c r="BG187" i="12"/>
  <c r="BG195" i="12"/>
  <c r="BH7" i="12"/>
  <c r="BH13" i="12"/>
  <c r="BH14" i="12"/>
  <c r="BH20" i="12"/>
  <c r="BH21" i="12"/>
  <c r="BH22" i="12"/>
  <c r="BH28" i="12"/>
  <c r="BH29" i="12"/>
  <c r="BH8" i="12"/>
  <c r="BH9" i="12"/>
  <c r="BH10" i="12"/>
  <c r="BH15" i="12"/>
  <c r="BH23" i="12"/>
  <c r="BH11" i="12"/>
  <c r="BH16" i="12"/>
  <c r="BH17" i="12"/>
  <c r="BH18" i="12"/>
  <c r="BH24" i="12"/>
  <c r="BH25" i="12"/>
  <c r="BH26" i="12"/>
  <c r="BH32" i="12"/>
  <c r="BH33" i="12"/>
  <c r="BH34" i="12"/>
  <c r="BH4" i="12"/>
  <c r="BH5" i="12"/>
  <c r="BH6" i="12"/>
  <c r="BH12" i="12"/>
  <c r="BH19" i="12"/>
  <c r="BH27" i="12"/>
  <c r="BH35" i="12"/>
  <c r="BH38" i="12"/>
  <c r="BH40" i="12"/>
  <c r="BH41" i="12"/>
  <c r="BH42" i="12"/>
  <c r="BH48" i="12"/>
  <c r="BH49" i="12"/>
  <c r="BH50" i="12"/>
  <c r="BH51" i="12"/>
  <c r="BH52" i="12"/>
  <c r="BH65" i="12"/>
  <c r="BH66" i="12"/>
  <c r="BH43" i="12"/>
  <c r="BH53" i="12"/>
  <c r="BH54" i="12"/>
  <c r="BH55" i="12"/>
  <c r="BH56" i="12"/>
  <c r="BH57" i="12"/>
  <c r="BH58" i="12"/>
  <c r="BH59" i="12"/>
  <c r="BH37" i="12"/>
  <c r="BH39" i="12"/>
  <c r="BH44" i="12"/>
  <c r="BH45" i="12"/>
  <c r="BH46" i="12"/>
  <c r="BH30" i="12"/>
  <c r="BH31" i="12"/>
  <c r="BH36" i="12"/>
  <c r="BH47" i="12"/>
  <c r="BH61" i="12"/>
  <c r="BH62" i="12"/>
  <c r="BH63" i="12"/>
  <c r="BH64" i="12"/>
  <c r="BH60" i="12"/>
  <c r="BH76" i="12"/>
  <c r="BH77" i="12"/>
  <c r="BH78" i="12"/>
  <c r="BH79" i="12"/>
  <c r="BH80" i="12"/>
  <c r="BH81" i="12"/>
  <c r="BH82" i="12"/>
  <c r="BH83" i="12"/>
  <c r="BH84" i="12"/>
  <c r="BH85" i="12"/>
  <c r="BH86" i="12"/>
  <c r="BH87" i="12"/>
  <c r="BH88" i="12"/>
  <c r="BH89" i="12"/>
  <c r="BH90" i="12"/>
  <c r="BH91" i="12"/>
  <c r="BH92" i="12"/>
  <c r="BH93" i="12"/>
  <c r="BH94" i="12"/>
  <c r="BH67" i="12"/>
  <c r="BH69" i="12"/>
  <c r="BH71" i="12"/>
  <c r="BH72" i="12"/>
  <c r="BH70" i="12"/>
  <c r="BH73" i="12"/>
  <c r="BH74" i="12"/>
  <c r="BH75" i="12"/>
  <c r="BH110" i="12"/>
  <c r="BH111" i="12"/>
  <c r="BH68" i="12"/>
  <c r="BH97" i="12"/>
  <c r="BH101" i="12"/>
  <c r="BH105" i="12"/>
  <c r="BH112" i="12"/>
  <c r="BH118" i="12"/>
  <c r="BH119" i="12"/>
  <c r="BH98" i="12"/>
  <c r="BH102" i="12"/>
  <c r="BH106" i="12"/>
  <c r="BH120" i="12"/>
  <c r="BH121" i="12"/>
  <c r="BH128" i="12"/>
  <c r="BH129" i="12"/>
  <c r="BH95" i="12"/>
  <c r="BH99" i="12"/>
  <c r="BH103" i="12"/>
  <c r="BH107" i="12"/>
  <c r="BH109" i="12"/>
  <c r="BH113" i="12"/>
  <c r="BH114" i="12"/>
  <c r="BH115" i="12"/>
  <c r="BH122" i="12"/>
  <c r="BH123" i="12"/>
  <c r="BH96" i="12"/>
  <c r="BH100" i="12"/>
  <c r="BH104" i="12"/>
  <c r="BH116" i="12"/>
  <c r="BH131" i="12"/>
  <c r="BH142" i="12"/>
  <c r="BH143" i="12"/>
  <c r="BH150" i="12"/>
  <c r="BH151" i="12"/>
  <c r="BH152" i="12"/>
  <c r="BH153" i="12"/>
  <c r="BH160" i="12"/>
  <c r="BH161" i="12"/>
  <c r="BH144" i="12"/>
  <c r="BH145" i="12"/>
  <c r="BH154" i="12"/>
  <c r="BH155" i="12"/>
  <c r="BH162" i="12"/>
  <c r="BH163" i="12"/>
  <c r="BH174" i="12"/>
  <c r="BH108" i="12"/>
  <c r="BH117" i="12"/>
  <c r="BH125" i="12"/>
  <c r="BH126" i="12"/>
  <c r="BH127" i="12"/>
  <c r="BH130" i="12"/>
  <c r="BH132" i="12"/>
  <c r="BH134" i="12"/>
  <c r="BH135" i="12"/>
  <c r="BH146" i="12"/>
  <c r="BH147" i="12"/>
  <c r="BH156" i="12"/>
  <c r="BH157" i="12"/>
  <c r="BH164" i="12"/>
  <c r="BH165" i="12"/>
  <c r="BH176" i="12"/>
  <c r="BH177" i="12"/>
  <c r="BH186" i="12"/>
  <c r="BH187" i="12"/>
  <c r="BH188" i="12"/>
  <c r="BH189" i="12"/>
  <c r="BH190" i="12"/>
  <c r="BH191" i="12"/>
  <c r="BH194" i="12"/>
  <c r="BH124" i="12"/>
  <c r="BH133" i="12"/>
  <c r="BH136" i="12"/>
  <c r="BH137" i="12"/>
  <c r="BH138" i="12"/>
  <c r="BH139" i="12"/>
  <c r="BH140" i="12"/>
  <c r="BH141" i="12"/>
  <c r="BH148" i="12"/>
  <c r="BH149" i="12"/>
  <c r="BH158" i="12"/>
  <c r="BH159" i="12"/>
  <c r="BH166" i="12"/>
  <c r="BH167" i="12"/>
  <c r="BH168" i="12"/>
  <c r="BH169" i="12"/>
  <c r="BH170" i="12"/>
  <c r="BH171" i="12"/>
  <c r="BH178" i="12"/>
  <c r="BH179" i="12"/>
  <c r="BH180" i="12"/>
  <c r="BH181" i="12"/>
  <c r="BH172" i="12"/>
  <c r="BH185" i="12"/>
  <c r="BH197" i="12"/>
  <c r="BH182" i="12"/>
  <c r="BH184" i="12"/>
  <c r="BH193" i="12"/>
  <c r="BH173" i="12"/>
  <c r="BH183" i="12"/>
  <c r="BH195" i="12"/>
  <c r="BH199" i="12"/>
  <c r="BH175" i="12"/>
  <c r="BH196" i="12"/>
  <c r="BH198" i="12"/>
  <c r="BH192" i="12"/>
  <c r="BE4" i="12"/>
  <c r="BE5" i="12"/>
  <c r="BE6" i="12"/>
  <c r="BE12" i="12"/>
  <c r="BE19" i="12"/>
  <c r="BE27" i="12"/>
  <c r="BE7" i="12"/>
  <c r="BE13" i="12"/>
  <c r="BE14" i="12"/>
  <c r="BE20" i="12"/>
  <c r="BE21" i="12"/>
  <c r="BE22" i="12"/>
  <c r="BE28" i="12"/>
  <c r="BE8" i="12"/>
  <c r="BE9" i="12"/>
  <c r="BE10" i="12"/>
  <c r="BE15" i="12"/>
  <c r="BE23" i="12"/>
  <c r="BE31" i="12"/>
  <c r="BE11" i="12"/>
  <c r="BE16" i="12"/>
  <c r="BE17" i="12"/>
  <c r="BE18" i="12"/>
  <c r="BE24" i="12"/>
  <c r="BE25" i="12"/>
  <c r="BE26" i="12"/>
  <c r="BE32" i="12"/>
  <c r="BE33" i="12"/>
  <c r="BE34" i="12"/>
  <c r="BE40" i="12"/>
  <c r="BE29" i="12"/>
  <c r="BE37" i="12"/>
  <c r="BE39" i="12"/>
  <c r="BE47" i="12"/>
  <c r="BE61" i="12"/>
  <c r="BE62" i="12"/>
  <c r="BE63" i="12"/>
  <c r="BE64" i="12"/>
  <c r="BE30" i="12"/>
  <c r="BE35" i="12"/>
  <c r="BE36" i="12"/>
  <c r="BE38" i="12"/>
  <c r="BE41" i="12"/>
  <c r="BE42" i="12"/>
  <c r="BE48" i="12"/>
  <c r="BE49" i="12"/>
  <c r="BE50" i="12"/>
  <c r="BE51" i="12"/>
  <c r="BE52" i="12"/>
  <c r="BE43" i="12"/>
  <c r="BE53" i="12"/>
  <c r="BE54" i="12"/>
  <c r="BE44" i="12"/>
  <c r="BE45" i="12"/>
  <c r="BE46" i="12"/>
  <c r="BE60" i="12"/>
  <c r="BE68" i="12"/>
  <c r="BE70" i="12"/>
  <c r="BE55" i="12"/>
  <c r="BE56" i="12"/>
  <c r="BE57" i="12"/>
  <c r="BE58" i="12"/>
  <c r="BE59" i="12"/>
  <c r="BE66" i="12"/>
  <c r="BE67" i="12"/>
  <c r="BE71" i="12"/>
  <c r="BE72" i="12"/>
  <c r="BE109" i="12"/>
  <c r="BE65" i="12"/>
  <c r="BE69" i="12"/>
  <c r="BE73" i="12"/>
  <c r="BE74" i="12"/>
  <c r="BE75" i="12"/>
  <c r="BE76" i="12"/>
  <c r="BE77" i="12"/>
  <c r="BE78" i="12"/>
  <c r="BE79" i="12"/>
  <c r="BE80" i="12"/>
  <c r="BE81" i="12"/>
  <c r="BE82" i="12"/>
  <c r="BE83" i="12"/>
  <c r="BE84" i="12"/>
  <c r="BE85" i="12"/>
  <c r="BE86" i="12"/>
  <c r="BE87" i="12"/>
  <c r="BE88" i="12"/>
  <c r="BE89" i="12"/>
  <c r="BE91" i="12"/>
  <c r="BE93" i="12"/>
  <c r="BE95" i="12"/>
  <c r="BE99" i="12"/>
  <c r="BE103" i="12"/>
  <c r="BE107" i="12"/>
  <c r="BE116" i="12"/>
  <c r="BE117" i="12"/>
  <c r="BE124" i="12"/>
  <c r="BE96" i="12"/>
  <c r="BE100" i="12"/>
  <c r="BE104" i="12"/>
  <c r="BE108" i="12"/>
  <c r="BE112" i="12"/>
  <c r="BE118" i="12"/>
  <c r="BE119" i="12"/>
  <c r="BE126" i="12"/>
  <c r="BE127" i="12"/>
  <c r="BE134" i="12"/>
  <c r="BE90" i="12"/>
  <c r="BE92" i="12"/>
  <c r="BE94" i="12"/>
  <c r="BE97" i="12"/>
  <c r="BE101" i="12"/>
  <c r="BE105" i="12"/>
  <c r="BE110" i="12"/>
  <c r="BE120" i="12"/>
  <c r="BE121" i="12"/>
  <c r="BE128" i="12"/>
  <c r="BE98" i="12"/>
  <c r="BE102" i="12"/>
  <c r="BE122" i="12"/>
  <c r="BE123" i="12"/>
  <c r="BE125" i="12"/>
  <c r="BE132" i="12"/>
  <c r="BE136" i="12"/>
  <c r="BE137" i="12"/>
  <c r="BE138" i="12"/>
  <c r="BE139" i="12"/>
  <c r="BE140" i="12"/>
  <c r="BE141" i="12"/>
  <c r="BE148" i="12"/>
  <c r="BE149" i="12"/>
  <c r="BE158" i="12"/>
  <c r="BE159" i="12"/>
  <c r="BE166" i="12"/>
  <c r="BE167" i="12"/>
  <c r="BE168" i="12"/>
  <c r="BE113" i="12"/>
  <c r="BE114" i="12"/>
  <c r="BE115" i="12"/>
  <c r="BE129" i="12"/>
  <c r="BE131" i="12"/>
  <c r="BE133" i="12"/>
  <c r="BE142" i="12"/>
  <c r="BE143" i="12"/>
  <c r="BE150" i="12"/>
  <c r="BE151" i="12"/>
  <c r="BE152" i="12"/>
  <c r="BE153" i="12"/>
  <c r="BE160" i="12"/>
  <c r="BE161" i="12"/>
  <c r="BE172" i="12"/>
  <c r="BE173" i="12"/>
  <c r="BE144" i="12"/>
  <c r="BE145" i="12"/>
  <c r="BE154" i="12"/>
  <c r="BE155" i="12"/>
  <c r="BE162" i="12"/>
  <c r="BE163" i="12"/>
  <c r="BE174" i="12"/>
  <c r="BE175" i="12"/>
  <c r="BE184" i="12"/>
  <c r="BE185" i="12"/>
  <c r="BE192" i="12"/>
  <c r="BE106" i="12"/>
  <c r="BE111" i="12"/>
  <c r="BE130" i="12"/>
  <c r="BE135" i="12"/>
  <c r="BE146" i="12"/>
  <c r="BE147" i="12"/>
  <c r="BE156" i="12"/>
  <c r="BE157" i="12"/>
  <c r="BE164" i="12"/>
  <c r="BE165" i="12"/>
  <c r="BE176" i="12"/>
  <c r="BE177" i="12"/>
  <c r="BE179" i="12"/>
  <c r="BE183" i="12"/>
  <c r="BE186" i="12"/>
  <c r="BE196" i="12"/>
  <c r="BE169" i="12"/>
  <c r="BE170" i="12"/>
  <c r="BE171" i="12"/>
  <c r="BE178" i="12"/>
  <c r="BE187" i="12"/>
  <c r="BE191" i="12"/>
  <c r="BE181" i="12"/>
  <c r="BE188" i="12"/>
  <c r="BE194" i="12"/>
  <c r="BE195" i="12"/>
  <c r="BE197" i="12"/>
  <c r="BE199" i="12"/>
  <c r="BE198" i="12"/>
  <c r="BE180" i="12"/>
  <c r="BE182" i="12"/>
  <c r="BE189" i="12"/>
  <c r="BE193" i="12"/>
  <c r="BE190" i="12"/>
  <c r="BC8" i="12"/>
  <c r="BC9" i="12"/>
  <c r="BC10" i="12"/>
  <c r="BC15" i="12"/>
  <c r="BC23" i="12"/>
  <c r="BC11" i="12"/>
  <c r="BC16" i="12"/>
  <c r="BC17" i="12"/>
  <c r="BC18" i="12"/>
  <c r="BC24" i="12"/>
  <c r="BC25" i="12"/>
  <c r="BC26" i="12"/>
  <c r="BC4" i="12"/>
  <c r="BC5" i="12"/>
  <c r="BC6" i="12"/>
  <c r="BC12" i="12"/>
  <c r="BC19" i="12"/>
  <c r="BC27" i="12"/>
  <c r="BC35" i="12"/>
  <c r="BC7" i="12"/>
  <c r="BC13" i="12"/>
  <c r="BC14" i="12"/>
  <c r="BC20" i="12"/>
  <c r="BC21" i="12"/>
  <c r="BC22" i="12"/>
  <c r="BC28" i="12"/>
  <c r="BC29" i="12"/>
  <c r="BC30" i="12"/>
  <c r="BC36" i="12"/>
  <c r="BC37" i="12"/>
  <c r="BC38" i="12"/>
  <c r="BC31" i="12"/>
  <c r="BC40" i="12"/>
  <c r="BC43" i="12"/>
  <c r="BC53" i="12"/>
  <c r="BC54" i="12"/>
  <c r="BC55" i="12"/>
  <c r="BC56" i="12"/>
  <c r="BC57" i="12"/>
  <c r="BC58" i="12"/>
  <c r="BC59" i="12"/>
  <c r="BC32" i="12"/>
  <c r="BC33" i="12"/>
  <c r="BC34" i="12"/>
  <c r="BC44" i="12"/>
  <c r="BC45" i="12"/>
  <c r="BC46" i="12"/>
  <c r="BC60" i="12"/>
  <c r="BC39" i="12"/>
  <c r="BC47" i="12"/>
  <c r="BC41" i="12"/>
  <c r="BC42" i="12"/>
  <c r="BC48" i="12"/>
  <c r="BC49" i="12"/>
  <c r="BC50" i="12"/>
  <c r="BC51" i="12"/>
  <c r="BC52" i="12"/>
  <c r="BC65" i="12"/>
  <c r="BC66" i="12"/>
  <c r="BC67" i="12"/>
  <c r="BC68" i="12"/>
  <c r="BC61" i="12"/>
  <c r="BC71" i="12"/>
  <c r="BC72" i="12"/>
  <c r="BC62" i="12"/>
  <c r="BC69" i="12"/>
  <c r="BC73" i="12"/>
  <c r="BC74" i="12"/>
  <c r="BC70" i="12"/>
  <c r="BC112" i="12"/>
  <c r="BC113" i="12"/>
  <c r="BC63" i="12"/>
  <c r="BC64" i="12"/>
  <c r="BC77" i="12"/>
  <c r="BC78" i="12"/>
  <c r="BC79" i="12"/>
  <c r="BC80" i="12"/>
  <c r="BC81" i="12"/>
  <c r="BC82" i="12"/>
  <c r="BC83" i="12"/>
  <c r="BC84" i="12"/>
  <c r="BC85" i="12"/>
  <c r="BC86" i="12"/>
  <c r="BC87" i="12"/>
  <c r="BC88" i="12"/>
  <c r="BC89" i="12"/>
  <c r="BC97" i="12"/>
  <c r="BC101" i="12"/>
  <c r="BC105" i="12"/>
  <c r="BC120" i="12"/>
  <c r="BC121" i="12"/>
  <c r="BC90" i="12"/>
  <c r="BC92" i="12"/>
  <c r="BC94" i="12"/>
  <c r="BC98" i="12"/>
  <c r="BC102" i="12"/>
  <c r="BC106" i="12"/>
  <c r="BC110" i="12"/>
  <c r="BC114" i="12"/>
  <c r="BC115" i="12"/>
  <c r="BC122" i="12"/>
  <c r="BC123" i="12"/>
  <c r="BC130" i="12"/>
  <c r="BC131" i="12"/>
  <c r="BC99" i="12"/>
  <c r="BC103" i="12"/>
  <c r="BC107" i="12"/>
  <c r="BC109" i="12"/>
  <c r="BC111" i="12"/>
  <c r="BC116" i="12"/>
  <c r="BC117" i="12"/>
  <c r="BC124" i="12"/>
  <c r="BC125" i="12"/>
  <c r="BC75" i="12"/>
  <c r="BC91" i="12"/>
  <c r="BC93" i="12"/>
  <c r="BC95" i="12"/>
  <c r="BC96" i="12"/>
  <c r="BC100" i="12"/>
  <c r="BC104" i="12"/>
  <c r="BC108" i="12"/>
  <c r="BC128" i="12"/>
  <c r="BC129" i="12"/>
  <c r="BC144" i="12"/>
  <c r="BC145" i="12"/>
  <c r="BC154" i="12"/>
  <c r="BC155" i="12"/>
  <c r="BC162" i="12"/>
  <c r="BC163" i="12"/>
  <c r="BC135" i="12"/>
  <c r="BC146" i="12"/>
  <c r="BC147" i="12"/>
  <c r="BC156" i="12"/>
  <c r="BC157" i="12"/>
  <c r="BC164" i="12"/>
  <c r="BC165" i="12"/>
  <c r="BC118" i="12"/>
  <c r="BC132" i="12"/>
  <c r="BC134" i="12"/>
  <c r="BC136" i="12"/>
  <c r="BC137" i="12"/>
  <c r="BC138" i="12"/>
  <c r="BC139" i="12"/>
  <c r="BC140" i="12"/>
  <c r="BC141" i="12"/>
  <c r="BC148" i="12"/>
  <c r="BC149" i="12"/>
  <c r="BC158" i="12"/>
  <c r="BC159" i="12"/>
  <c r="BC166" i="12"/>
  <c r="BC167" i="12"/>
  <c r="BC168" i="12"/>
  <c r="BC169" i="12"/>
  <c r="BC170" i="12"/>
  <c r="BC171" i="12"/>
  <c r="BC178" i="12"/>
  <c r="BC179" i="12"/>
  <c r="BC180" i="12"/>
  <c r="BC181" i="12"/>
  <c r="BC119" i="12"/>
  <c r="BC126" i="12"/>
  <c r="BC127" i="12"/>
  <c r="BC133" i="12"/>
  <c r="BC142" i="12"/>
  <c r="BC143" i="12"/>
  <c r="BC150" i="12"/>
  <c r="BC151" i="12"/>
  <c r="BC152" i="12"/>
  <c r="BC153" i="12"/>
  <c r="BC160" i="12"/>
  <c r="BC161" i="12"/>
  <c r="BC172" i="12"/>
  <c r="BC173" i="12"/>
  <c r="BC175" i="12"/>
  <c r="BC185" i="12"/>
  <c r="BC187" i="12"/>
  <c r="BC176" i="12"/>
  <c r="BC177" i="12"/>
  <c r="BC182" i="12"/>
  <c r="BC184" i="12"/>
  <c r="BC188" i="12"/>
  <c r="BC174" i="12"/>
  <c r="BC183" i="12"/>
  <c r="BC189" i="12"/>
  <c r="BC186" i="12"/>
  <c r="BC190" i="12"/>
  <c r="BC191" i="12"/>
  <c r="BF11" i="12"/>
  <c r="BF16" i="12"/>
  <c r="BF17" i="12"/>
  <c r="BF18" i="12"/>
  <c r="BF24" i="12"/>
  <c r="BF25" i="12"/>
  <c r="BF26" i="12"/>
  <c r="BF4" i="12"/>
  <c r="BF5" i="12"/>
  <c r="BF6" i="12"/>
  <c r="BF12" i="12"/>
  <c r="BF19" i="12"/>
  <c r="BF27" i="12"/>
  <c r="BF7" i="12"/>
  <c r="BF13" i="12"/>
  <c r="BF14" i="12"/>
  <c r="BF20" i="12"/>
  <c r="BF21" i="12"/>
  <c r="BF22" i="12"/>
  <c r="BF28" i="12"/>
  <c r="BF29" i="12"/>
  <c r="BF30" i="12"/>
  <c r="BF36" i="12"/>
  <c r="BF37" i="12"/>
  <c r="BF8" i="12"/>
  <c r="BF9" i="12"/>
  <c r="BF10" i="12"/>
  <c r="BF15" i="12"/>
  <c r="BF23" i="12"/>
  <c r="BF31" i="12"/>
  <c r="BF39" i="12"/>
  <c r="BF44" i="12"/>
  <c r="BF45" i="12"/>
  <c r="BF46" i="12"/>
  <c r="BF60" i="12"/>
  <c r="BF47" i="12"/>
  <c r="BF61" i="12"/>
  <c r="BF62" i="12"/>
  <c r="BF32" i="12"/>
  <c r="BF33" i="12"/>
  <c r="BF34" i="12"/>
  <c r="BF35" i="12"/>
  <c r="BF38" i="12"/>
  <c r="BF40" i="12"/>
  <c r="BF41" i="12"/>
  <c r="BF42" i="12"/>
  <c r="BF48" i="12"/>
  <c r="BF49" i="12"/>
  <c r="BF50" i="12"/>
  <c r="BF51" i="12"/>
  <c r="BF52" i="12"/>
  <c r="BF43" i="12"/>
  <c r="BF53" i="12"/>
  <c r="BF54" i="12"/>
  <c r="BF55" i="12"/>
  <c r="BF56" i="12"/>
  <c r="BF57" i="12"/>
  <c r="BF58" i="12"/>
  <c r="BF59" i="12"/>
  <c r="BF69" i="12"/>
  <c r="BF70" i="12"/>
  <c r="BF63" i="12"/>
  <c r="BF64" i="12"/>
  <c r="BF65" i="12"/>
  <c r="BF73" i="12"/>
  <c r="BF74" i="12"/>
  <c r="BF75" i="12"/>
  <c r="BF68" i="12"/>
  <c r="BF76" i="12"/>
  <c r="BF77" i="12"/>
  <c r="BF78" i="12"/>
  <c r="BF79" i="12"/>
  <c r="BF80" i="12"/>
  <c r="BF81" i="12"/>
  <c r="BF82" i="12"/>
  <c r="BF83" i="12"/>
  <c r="BF84" i="12"/>
  <c r="BF85" i="12"/>
  <c r="BF86" i="12"/>
  <c r="BF87" i="12"/>
  <c r="BF88" i="12"/>
  <c r="BF89" i="12"/>
  <c r="BF90" i="12"/>
  <c r="BF91" i="12"/>
  <c r="BF92" i="12"/>
  <c r="BF93" i="12"/>
  <c r="BF94" i="12"/>
  <c r="BF95" i="12"/>
  <c r="BF96" i="12"/>
  <c r="BF97" i="12"/>
  <c r="BF98" i="12"/>
  <c r="BF99" i="12"/>
  <c r="BF100" i="12"/>
  <c r="BF101" i="12"/>
  <c r="BF102" i="12"/>
  <c r="BF103" i="12"/>
  <c r="BF104" i="12"/>
  <c r="BF105" i="12"/>
  <c r="BF106" i="12"/>
  <c r="BF107" i="12"/>
  <c r="BF108" i="12"/>
  <c r="BF66" i="12"/>
  <c r="BF67" i="12"/>
  <c r="BF71" i="12"/>
  <c r="BF72" i="12"/>
  <c r="BF109" i="12"/>
  <c r="BF111" i="12"/>
  <c r="BF113" i="12"/>
  <c r="BF114" i="12"/>
  <c r="BF115" i="12"/>
  <c r="BF122" i="12"/>
  <c r="BF123" i="12"/>
  <c r="BF116" i="12"/>
  <c r="BF117" i="12"/>
  <c r="BF124" i="12"/>
  <c r="BF125" i="12"/>
  <c r="BF132" i="12"/>
  <c r="BF133" i="12"/>
  <c r="BF112" i="12"/>
  <c r="BF118" i="12"/>
  <c r="BF119" i="12"/>
  <c r="BF126" i="12"/>
  <c r="BF127" i="12"/>
  <c r="BF130" i="12"/>
  <c r="BF134" i="12"/>
  <c r="BF135" i="12"/>
  <c r="BF146" i="12"/>
  <c r="BF147" i="12"/>
  <c r="BF156" i="12"/>
  <c r="BF157" i="12"/>
  <c r="BF164" i="12"/>
  <c r="BF165" i="12"/>
  <c r="BF120" i="12"/>
  <c r="BF128" i="12"/>
  <c r="BF136" i="12"/>
  <c r="BF137" i="12"/>
  <c r="BF138" i="12"/>
  <c r="BF139" i="12"/>
  <c r="BF140" i="12"/>
  <c r="BF141" i="12"/>
  <c r="BF148" i="12"/>
  <c r="BF149" i="12"/>
  <c r="BF158" i="12"/>
  <c r="BF159" i="12"/>
  <c r="BF166" i="12"/>
  <c r="BF167" i="12"/>
  <c r="BF168" i="12"/>
  <c r="BF169" i="12"/>
  <c r="BF170" i="12"/>
  <c r="BF171" i="12"/>
  <c r="BF110" i="12"/>
  <c r="BF129" i="12"/>
  <c r="BF131" i="12"/>
  <c r="BF142" i="12"/>
  <c r="BF143" i="12"/>
  <c r="BF150" i="12"/>
  <c r="BF151" i="12"/>
  <c r="BF152" i="12"/>
  <c r="BF153" i="12"/>
  <c r="BF160" i="12"/>
  <c r="BF161" i="12"/>
  <c r="BF172" i="12"/>
  <c r="BF173" i="12"/>
  <c r="BF182" i="12"/>
  <c r="BF183" i="12"/>
  <c r="BF193" i="12"/>
  <c r="BF121" i="12"/>
  <c r="BF144" i="12"/>
  <c r="BF145" i="12"/>
  <c r="BF154" i="12"/>
  <c r="BF155" i="12"/>
  <c r="BF162" i="12"/>
  <c r="BF163" i="12"/>
  <c r="BF174" i="12"/>
  <c r="BF175" i="12"/>
  <c r="BF180" i="12"/>
  <c r="BF196" i="12"/>
  <c r="BF179" i="12"/>
  <c r="BF186" i="12"/>
  <c r="BF190" i="12"/>
  <c r="BF176" i="12"/>
  <c r="BF177" i="12"/>
  <c r="BF178" i="12"/>
  <c r="BF185" i="12"/>
  <c r="BF187" i="12"/>
  <c r="BF191" i="12"/>
  <c r="BF192" i="12"/>
  <c r="BF198" i="12"/>
  <c r="BF181" i="12"/>
  <c r="BF184" i="12"/>
  <c r="BF188" i="12"/>
  <c r="BF194" i="12"/>
  <c r="BF195" i="12"/>
  <c r="BF197" i="12"/>
  <c r="BF199" i="12"/>
  <c r="BF189" i="12"/>
  <c r="BF56" i="8"/>
  <c r="AB55" i="8"/>
  <c r="AE57" i="8"/>
  <c r="AQ57" i="8"/>
  <c r="AK57" i="8"/>
  <c r="AQ99" i="8"/>
  <c r="AK99" i="8"/>
  <c r="AE99" i="8"/>
  <c r="O97" i="8"/>
  <c r="O69" i="8"/>
  <c r="O41" i="8"/>
  <c r="BU99" i="8"/>
  <c r="BU43" i="8"/>
  <c r="BU29" i="8"/>
  <c r="BO43" i="8"/>
  <c r="BO29" i="8"/>
  <c r="BI43" i="8"/>
  <c r="BI29" i="8"/>
  <c r="O83" i="8"/>
  <c r="O55" i="8"/>
  <c r="BI85" i="8"/>
  <c r="AK85" i="8"/>
  <c r="AE85" i="8"/>
  <c r="O26" i="8"/>
  <c r="BO99" i="8"/>
  <c r="BO44" i="8"/>
  <c r="BO30" i="8"/>
  <c r="BI99" i="8"/>
  <c r="BI44" i="8"/>
  <c r="BI30" i="8"/>
  <c r="AQ29" i="8"/>
  <c r="AK29" i="8"/>
  <c r="AE29" i="8"/>
  <c r="O96" i="8"/>
  <c r="O68" i="8"/>
  <c r="O40" i="8"/>
  <c r="AQ43" i="8"/>
  <c r="AK43" i="8"/>
  <c r="AE43" i="8"/>
  <c r="O27" i="8"/>
  <c r="BO85" i="8"/>
  <c r="AQ85" i="8"/>
  <c r="O82" i="8"/>
  <c r="O54" i="8"/>
  <c r="BU85" i="8"/>
  <c r="BU44" i="8"/>
  <c r="BU30" i="8"/>
  <c r="BF97" i="8"/>
  <c r="BF98" i="8"/>
  <c r="BF99" i="8"/>
  <c r="BF84" i="8"/>
  <c r="BF70" i="8"/>
  <c r="BF85" i="8"/>
  <c r="BF69" i="8"/>
  <c r="BF83" i="8"/>
  <c r="CC69" i="8"/>
  <c r="CC70" i="8"/>
  <c r="CC84" i="8"/>
  <c r="CC85" i="8"/>
  <c r="CC98" i="8"/>
  <c r="CC99" i="8"/>
  <c r="CC83" i="8"/>
  <c r="CC97" i="8"/>
  <c r="CC56" i="8"/>
  <c r="CC58" i="8"/>
  <c r="CC57" i="8"/>
  <c r="CC55" i="8"/>
  <c r="BF55" i="8"/>
  <c r="AB99" i="8"/>
  <c r="AB97" i="8"/>
  <c r="AB41" i="8"/>
  <c r="AB84" i="8"/>
  <c r="AB83" i="8"/>
  <c r="AB56" i="8"/>
  <c r="BF41" i="8"/>
  <c r="BF27" i="8"/>
  <c r="AB85" i="8"/>
  <c r="AB69" i="8"/>
  <c r="BF42" i="8"/>
  <c r="BF28" i="8"/>
  <c r="AB98" i="8"/>
  <c r="AB70" i="8"/>
  <c r="AB42" i="8"/>
  <c r="U69" i="8"/>
  <c r="AY84" i="8"/>
  <c r="AY70" i="8"/>
  <c r="AY85" i="8"/>
  <c r="AY56" i="8"/>
  <c r="AY57" i="8"/>
  <c r="AY83" i="8"/>
  <c r="AY69" i="8"/>
  <c r="AY55" i="8"/>
  <c r="AB28" i="8"/>
  <c r="AB27" i="8"/>
  <c r="AY41" i="8"/>
  <c r="CC27" i="8"/>
  <c r="AY28" i="8"/>
  <c r="AY43" i="8"/>
  <c r="U83" i="8"/>
  <c r="CC43" i="8"/>
  <c r="CC44" i="8"/>
  <c r="U68" i="8"/>
  <c r="AY29" i="8"/>
  <c r="U27" i="8"/>
  <c r="AY97" i="8"/>
  <c r="CC30" i="8"/>
  <c r="CD30" i="8" s="1"/>
  <c r="U55" i="8"/>
  <c r="U82" i="8"/>
  <c r="U41" i="8"/>
  <c r="U26" i="8"/>
  <c r="CC41" i="8"/>
  <c r="U96" i="8"/>
  <c r="CC29" i="8"/>
  <c r="U54" i="8"/>
  <c r="U97" i="8"/>
  <c r="AY42" i="8"/>
  <c r="U40" i="8"/>
  <c r="CC28" i="8"/>
  <c r="AY27" i="8"/>
  <c r="CC42" i="8"/>
  <c r="AY98" i="8"/>
  <c r="D4" i="6"/>
  <c r="G125" i="8"/>
  <c r="G119" i="8"/>
  <c r="G124" i="8"/>
  <c r="G123" i="8"/>
  <c r="G117" i="8"/>
  <c r="G118" i="8"/>
  <c r="G116" i="8"/>
  <c r="G111" i="8"/>
  <c r="G113" i="8"/>
  <c r="G114" i="8"/>
  <c r="G121" i="8"/>
  <c r="G122" i="8"/>
  <c r="G120" i="8"/>
  <c r="G115" i="8"/>
  <c r="G112" i="8"/>
  <c r="E45" i="8"/>
  <c r="E44" i="8"/>
  <c r="E82" i="8"/>
  <c r="E33" i="8"/>
  <c r="E46" i="8"/>
  <c r="E59" i="8"/>
  <c r="E27" i="8"/>
  <c r="E47" i="8"/>
  <c r="E32" i="8"/>
  <c r="E43" i="8"/>
  <c r="E28" i="8"/>
  <c r="E96" i="8"/>
  <c r="E40" i="8"/>
  <c r="E57" i="8"/>
  <c r="E29" i="8"/>
  <c r="E42" i="8"/>
  <c r="E55" i="8"/>
  <c r="E58" i="8"/>
  <c r="E30" i="8"/>
  <c r="E68" i="8"/>
  <c r="E41" i="8"/>
  <c r="E54" i="8"/>
  <c r="E26" i="8"/>
  <c r="E56" i="8"/>
  <c r="E31" i="8"/>
  <c r="Q122" i="13"/>
  <c r="Q117" i="13"/>
  <c r="Q120" i="13"/>
  <c r="Q114" i="13"/>
  <c r="Q115" i="13"/>
  <c r="Q116" i="13"/>
  <c r="Q109" i="13"/>
  <c r="Q110" i="13"/>
  <c r="Q108" i="13"/>
  <c r="Q111" i="13"/>
  <c r="Q112" i="13"/>
  <c r="Q113" i="13"/>
  <c r="Q106" i="13"/>
  <c r="Q107" i="13"/>
  <c r="Q4" i="13"/>
  <c r="Q17" i="13"/>
  <c r="Q18" i="13"/>
  <c r="Q19" i="13"/>
  <c r="Q23" i="13"/>
  <c r="Q24" i="13"/>
  <c r="Q25" i="13"/>
  <c r="Q26" i="13"/>
  <c r="Q27" i="13"/>
  <c r="Q28" i="13"/>
  <c r="Q29" i="13"/>
  <c r="Q30" i="13"/>
  <c r="Q32" i="13"/>
  <c r="Q33" i="13"/>
  <c r="Q34" i="13"/>
  <c r="Q35" i="13"/>
  <c r="Q2" i="13"/>
  <c r="Q3" i="13"/>
  <c r="Q5" i="13"/>
  <c r="Q6" i="13"/>
  <c r="Q7" i="13"/>
  <c r="Q8" i="13"/>
  <c r="Q15" i="13"/>
  <c r="Q16" i="13"/>
  <c r="Q9" i="13"/>
  <c r="Q10" i="13"/>
  <c r="Q11" i="13"/>
  <c r="Q12" i="13"/>
  <c r="Q13" i="13"/>
  <c r="Q14" i="13"/>
  <c r="Q102" i="13"/>
  <c r="Q103" i="13"/>
  <c r="Q46" i="13"/>
  <c r="Q47" i="13"/>
  <c r="Q48" i="13"/>
  <c r="Q53" i="13"/>
  <c r="Q54" i="13"/>
  <c r="Q55" i="13"/>
  <c r="Q56" i="13"/>
  <c r="Q57" i="13"/>
  <c r="Q58" i="13"/>
  <c r="Q59" i="13"/>
  <c r="Q60" i="13"/>
  <c r="Q63" i="13"/>
  <c r="Q64" i="13"/>
  <c r="Q61" i="13"/>
  <c r="Q62" i="13"/>
  <c r="Q65" i="13"/>
  <c r="Q66" i="13"/>
  <c r="Q68" i="13"/>
  <c r="Q67" i="13"/>
  <c r="Q77" i="13"/>
  <c r="Q74" i="13"/>
  <c r="Q75" i="13"/>
  <c r="Q76" i="13"/>
  <c r="Q100" i="13"/>
  <c r="Q81" i="13"/>
  <c r="Q82" i="13"/>
  <c r="Q83" i="13"/>
  <c r="Q84" i="13"/>
  <c r="Q85" i="13"/>
  <c r="Q86" i="13"/>
  <c r="Q88" i="13"/>
  <c r="Q90" i="13"/>
  <c r="Q92" i="13"/>
  <c r="Q87" i="13"/>
  <c r="Q89" i="13"/>
  <c r="Q91" i="13"/>
  <c r="Q93" i="13"/>
  <c r="Q94" i="13"/>
  <c r="Q95" i="13"/>
  <c r="Q96" i="13"/>
  <c r="Q97" i="13"/>
  <c r="Q98" i="13"/>
  <c r="Q99" i="13"/>
  <c r="Q78" i="13"/>
  <c r="Q79" i="13"/>
  <c r="Q80" i="13"/>
  <c r="Q104" i="13"/>
  <c r="Q105" i="13"/>
  <c r="E98" i="13"/>
  <c r="E94" i="13"/>
  <c r="G2" i="14"/>
  <c r="H4" i="8" l="1"/>
  <c r="AU57" i="8"/>
  <c r="BY29" i="8"/>
  <c r="BY85" i="8"/>
  <c r="BY43" i="8"/>
  <c r="AU99" i="8"/>
  <c r="AU29" i="8"/>
  <c r="BY44" i="8"/>
  <c r="BY99" i="8"/>
  <c r="AU43" i="8"/>
  <c r="AZ85" i="8"/>
  <c r="BB85" i="8" s="1"/>
  <c r="F3" i="14"/>
  <c r="F4" i="14"/>
  <c r="A171" i="14"/>
  <c r="U22" i="16"/>
  <c r="U24" i="16" l="1"/>
  <c r="U37" i="16" l="1"/>
  <c r="U38" i="16" s="1"/>
  <c r="U33" i="16"/>
  <c r="U28" i="16"/>
  <c r="U36" i="16"/>
  <c r="U32" i="16"/>
  <c r="U27" i="16"/>
  <c r="U29" i="16"/>
  <c r="U25" i="16"/>
  <c r="U35" i="16"/>
  <c r="U31" i="16"/>
  <c r="U30" i="16"/>
  <c r="U26" i="16"/>
  <c r="U34" i="16"/>
  <c r="N20" i="8"/>
  <c r="N17" i="8"/>
  <c r="N16" i="8"/>
  <c r="N15" i="8"/>
  <c r="N14" i="8"/>
  <c r="N13" i="8"/>
  <c r="N12" i="8"/>
  <c r="F11" i="8" l="1"/>
  <c r="H7" i="8" l="1"/>
  <c r="L69" i="8"/>
  <c r="L82" i="8"/>
  <c r="E76" i="8"/>
  <c r="E6" i="8" s="1"/>
  <c r="L83" i="8"/>
  <c r="L68" i="8"/>
  <c r="E104" i="8"/>
  <c r="E8" i="8" s="1"/>
  <c r="L96" i="8"/>
  <c r="L97" i="8"/>
  <c r="H96" i="8"/>
  <c r="H104" i="8" s="1"/>
  <c r="F8" i="8" s="1"/>
  <c r="H8" i="8" l="1"/>
  <c r="G7" i="8"/>
  <c r="E90" i="8"/>
  <c r="E7" i="8" s="1"/>
  <c r="BF62" i="8"/>
  <c r="AB5" i="8" s="1"/>
  <c r="G8" i="8"/>
  <c r="AB48" i="8"/>
  <c r="T4" i="8" s="1"/>
  <c r="L76" i="8"/>
  <c r="L6" i="8" s="1"/>
  <c r="L90" i="8"/>
  <c r="L7" i="8" s="1"/>
  <c r="AB76" i="8"/>
  <c r="T6" i="8" s="1"/>
  <c r="H5" i="8"/>
  <c r="H3" i="8"/>
  <c r="E62" i="8"/>
  <c r="E5" i="8" s="1"/>
  <c r="AB34" i="8"/>
  <c r="T3" i="8" s="1"/>
  <c r="BF48" i="8"/>
  <c r="AB4" i="8" s="1"/>
  <c r="AB104" i="8"/>
  <c r="T8" i="8" s="1"/>
  <c r="AB62" i="8"/>
  <c r="T5" i="8" s="1"/>
  <c r="BF76" i="8"/>
  <c r="AB6" i="8" s="1"/>
  <c r="G4" i="8"/>
  <c r="L104" i="8"/>
  <c r="L8" i="8" s="1"/>
  <c r="G3" i="8"/>
  <c r="H6" i="8"/>
  <c r="G6" i="8"/>
  <c r="BF104" i="8"/>
  <c r="AB8" i="8" s="1"/>
  <c r="E34" i="8"/>
  <c r="E3" i="8" s="1"/>
  <c r="E48" i="8"/>
  <c r="E4" i="8" s="1"/>
  <c r="G5" i="8"/>
  <c r="AB90" i="8"/>
  <c r="T7" i="8" s="1"/>
  <c r="BF34" i="8"/>
  <c r="AB3" i="8" s="1"/>
  <c r="BF90" i="8"/>
  <c r="AB7" i="8" s="1"/>
  <c r="U76" i="8"/>
  <c r="K6" i="8" s="1"/>
  <c r="H82" i="8"/>
  <c r="H90" i="8" s="1"/>
  <c r="F7" i="8" s="1"/>
  <c r="H54" i="8"/>
  <c r="H62" i="8" s="1"/>
  <c r="F5" i="8" s="1"/>
  <c r="H40" i="8"/>
  <c r="H48" i="8" s="1"/>
  <c r="F4" i="8" s="1"/>
  <c r="H68" i="8"/>
  <c r="H76" i="8" s="1"/>
  <c r="F6" i="8" s="1"/>
  <c r="H26" i="8"/>
  <c r="H34" i="8" s="1"/>
  <c r="F3" i="8" s="1"/>
  <c r="CC76" i="8" l="1"/>
  <c r="AA6" i="8" s="1"/>
  <c r="CC48" i="8"/>
  <c r="AA4" i="8" s="1"/>
  <c r="CF30" i="8"/>
  <c r="AY76" i="8"/>
  <c r="S6" i="8" s="1"/>
  <c r="AY62" i="8"/>
  <c r="S5" i="8" s="1"/>
  <c r="AY48" i="8"/>
  <c r="S4" i="8" s="1"/>
  <c r="CC90" i="8"/>
  <c r="AA7" i="8" s="1"/>
  <c r="U34" i="8"/>
  <c r="K3" i="8" s="1"/>
  <c r="U104" i="8"/>
  <c r="K8" i="8" s="1"/>
  <c r="CC34" i="8"/>
  <c r="AA3" i="8" s="1"/>
  <c r="CC104" i="8"/>
  <c r="AA8" i="8" s="1"/>
  <c r="U90" i="8"/>
  <c r="K7" i="8" s="1"/>
  <c r="CC62" i="8"/>
  <c r="AA5" i="8" s="1"/>
  <c r="AY34" i="8"/>
  <c r="S3" i="8" s="1"/>
  <c r="AY104" i="8"/>
  <c r="S8" i="8" s="1"/>
  <c r="AY90" i="8"/>
  <c r="S7" i="8" s="1"/>
  <c r="U48" i="8"/>
  <c r="K4" i="8" s="1"/>
  <c r="U62" i="8"/>
  <c r="K5" i="8" s="1"/>
  <c r="O104" i="8"/>
  <c r="J8" i="8" s="1"/>
  <c r="O90" i="8"/>
  <c r="J7" i="8" s="1"/>
  <c r="O76" i="8"/>
  <c r="J6" i="8" s="1"/>
  <c r="O48" i="8"/>
  <c r="J4" i="8" s="1"/>
  <c r="O62" i="8"/>
  <c r="J5" i="8" s="1"/>
  <c r="O34" i="8"/>
  <c r="J3" i="8" s="1"/>
  <c r="Q18" i="16" l="1"/>
  <c r="BJ334" i="12" l="1"/>
  <c r="BJ335" i="12"/>
  <c r="BJ332" i="12"/>
  <c r="BJ333" i="12"/>
  <c r="BJ331" i="12"/>
  <c r="BJ330" i="12"/>
  <c r="BJ328" i="12"/>
  <c r="BJ329" i="12"/>
  <c r="BJ326" i="12"/>
  <c r="BJ327" i="12"/>
  <c r="BJ324" i="12"/>
  <c r="BJ325" i="12"/>
  <c r="BJ322" i="12"/>
  <c r="BJ323" i="12"/>
  <c r="BJ320" i="12"/>
  <c r="BJ321" i="12"/>
  <c r="BJ318" i="12"/>
  <c r="BJ319" i="12"/>
  <c r="BJ316" i="12"/>
  <c r="BJ317" i="12"/>
  <c r="BJ314" i="12"/>
  <c r="BJ315" i="12"/>
  <c r="BJ312" i="12"/>
  <c r="BJ313" i="12"/>
  <c r="BJ310" i="12"/>
  <c r="BJ311" i="12"/>
  <c r="BJ308" i="12"/>
  <c r="BJ309" i="12"/>
  <c r="BJ306" i="12"/>
  <c r="BJ307" i="12"/>
  <c r="BJ304" i="12"/>
  <c r="BJ305" i="12"/>
  <c r="BJ302" i="12"/>
  <c r="BJ303" i="12"/>
  <c r="BJ300" i="12"/>
  <c r="BJ301" i="12"/>
  <c r="BJ298" i="12"/>
  <c r="BJ299" i="12"/>
  <c r="BJ296" i="12"/>
  <c r="BJ297" i="12"/>
  <c r="BJ294" i="12"/>
  <c r="BJ295" i="12"/>
  <c r="BJ293" i="12"/>
  <c r="BJ284" i="12"/>
  <c r="BJ288" i="12"/>
  <c r="BJ292" i="12"/>
  <c r="BJ287" i="12"/>
  <c r="BJ291" i="12"/>
  <c r="BJ285" i="12"/>
  <c r="BJ289" i="12"/>
  <c r="BJ286" i="12"/>
  <c r="BJ290" i="12"/>
  <c r="BJ282" i="12"/>
  <c r="BJ283" i="12"/>
  <c r="BJ280" i="12"/>
  <c r="BJ281" i="12"/>
  <c r="BJ278" i="12"/>
  <c r="BJ279" i="12"/>
  <c r="BJ276" i="12"/>
  <c r="BJ277" i="12"/>
  <c r="BJ274" i="12"/>
  <c r="BJ275" i="12"/>
  <c r="BJ272" i="12"/>
  <c r="BJ273" i="12"/>
  <c r="BJ270" i="12"/>
  <c r="BJ271" i="12"/>
  <c r="BJ268" i="12"/>
  <c r="BJ269" i="12"/>
  <c r="BJ266" i="12"/>
  <c r="BJ267" i="12"/>
  <c r="BJ264" i="12"/>
  <c r="BJ265" i="12"/>
  <c r="BJ262" i="12"/>
  <c r="BJ263" i="12"/>
  <c r="BJ260" i="12"/>
  <c r="BJ261" i="12"/>
  <c r="BJ258" i="12"/>
  <c r="BJ259" i="12"/>
  <c r="BJ256" i="12"/>
  <c r="BJ257" i="12"/>
  <c r="BJ254" i="12"/>
  <c r="BJ255" i="12"/>
  <c r="BJ252" i="12"/>
  <c r="BJ253" i="12"/>
  <c r="BJ250" i="12"/>
  <c r="BJ251" i="12"/>
  <c r="BJ248" i="12"/>
  <c r="BJ249" i="12"/>
  <c r="BJ246" i="12"/>
  <c r="BJ247" i="12"/>
  <c r="BJ244" i="12"/>
  <c r="BJ245" i="12"/>
  <c r="BJ230" i="12"/>
  <c r="BJ234" i="12"/>
  <c r="BJ238" i="12"/>
  <c r="BJ242" i="12"/>
  <c r="BJ231" i="12"/>
  <c r="BJ235" i="12"/>
  <c r="BJ239" i="12"/>
  <c r="BJ243" i="12"/>
  <c r="BJ232" i="12"/>
  <c r="BJ236" i="12"/>
  <c r="BJ240" i="12"/>
  <c r="BJ233" i="12"/>
  <c r="BJ237" i="12"/>
  <c r="BJ241" i="12"/>
  <c r="BJ228" i="12"/>
  <c r="BJ229" i="12"/>
  <c r="BJ227" i="12"/>
  <c r="K10" i="16"/>
  <c r="M10" i="16" s="1"/>
  <c r="BJ225" i="12"/>
  <c r="BJ226" i="12"/>
  <c r="BJ223" i="12"/>
  <c r="BJ224" i="12"/>
  <c r="BJ221" i="12"/>
  <c r="BJ222" i="12"/>
  <c r="BJ219" i="12"/>
  <c r="BJ220" i="12"/>
  <c r="BJ217" i="12"/>
  <c r="BJ218" i="12"/>
  <c r="BJ215" i="12"/>
  <c r="BJ216" i="12"/>
  <c r="BJ213" i="12"/>
  <c r="BJ214" i="12"/>
  <c r="BJ211" i="12"/>
  <c r="BJ212" i="12"/>
  <c r="BJ208" i="12"/>
  <c r="BJ210" i="12"/>
  <c r="BJ209" i="12"/>
  <c r="BJ206" i="12"/>
  <c r="BJ207" i="12"/>
  <c r="BJ204" i="12"/>
  <c r="BJ205" i="12"/>
  <c r="BJ202" i="12"/>
  <c r="BJ203" i="12"/>
  <c r="BJ200" i="12"/>
  <c r="BJ201" i="12"/>
  <c r="BJ11" i="12"/>
  <c r="BJ16" i="12"/>
  <c r="BJ17" i="12"/>
  <c r="BJ18" i="12"/>
  <c r="BJ24" i="12"/>
  <c r="BJ25" i="12"/>
  <c r="BJ26" i="12"/>
  <c r="BJ4" i="12"/>
  <c r="BJ5" i="12"/>
  <c r="BJ6" i="12"/>
  <c r="BJ12" i="12"/>
  <c r="BJ19" i="12"/>
  <c r="BJ27" i="12"/>
  <c r="BJ7" i="12"/>
  <c r="BJ13" i="12"/>
  <c r="BJ14" i="12"/>
  <c r="BJ20" i="12"/>
  <c r="BJ21" i="12"/>
  <c r="BJ22" i="12"/>
  <c r="BJ28" i="12"/>
  <c r="BJ29" i="12"/>
  <c r="BJ30" i="12"/>
  <c r="BJ36" i="12"/>
  <c r="BJ8" i="12"/>
  <c r="BJ9" i="12"/>
  <c r="BJ10" i="12"/>
  <c r="BJ15" i="12"/>
  <c r="BJ23" i="12"/>
  <c r="BJ31" i="12"/>
  <c r="BJ39" i="12"/>
  <c r="BJ37" i="12"/>
  <c r="BJ44" i="12"/>
  <c r="BJ45" i="12"/>
  <c r="BJ46" i="12"/>
  <c r="BJ60" i="12"/>
  <c r="BJ32" i="12"/>
  <c r="BJ33" i="12"/>
  <c r="BJ34" i="12"/>
  <c r="BJ35" i="12"/>
  <c r="BJ47" i="12"/>
  <c r="BJ61" i="12"/>
  <c r="BJ62" i="12"/>
  <c r="BJ38" i="12"/>
  <c r="BJ40" i="12"/>
  <c r="BJ41" i="12"/>
  <c r="BJ42" i="12"/>
  <c r="BJ48" i="12"/>
  <c r="BJ49" i="12"/>
  <c r="BJ50" i="12"/>
  <c r="BJ51" i="12"/>
  <c r="BJ52" i="12"/>
  <c r="BJ43" i="12"/>
  <c r="BJ53" i="12"/>
  <c r="BJ54" i="12"/>
  <c r="BJ55" i="12"/>
  <c r="BJ56" i="12"/>
  <c r="BJ57" i="12"/>
  <c r="BJ58" i="12"/>
  <c r="BJ59" i="12"/>
  <c r="BJ69" i="12"/>
  <c r="BJ70" i="12"/>
  <c r="BJ73" i="12"/>
  <c r="BJ74" i="12"/>
  <c r="BJ75" i="12"/>
  <c r="BJ68" i="12"/>
  <c r="BJ66" i="12"/>
  <c r="BJ76" i="12"/>
  <c r="BJ77" i="12"/>
  <c r="BJ78" i="12"/>
  <c r="BJ79" i="12"/>
  <c r="BJ80" i="12"/>
  <c r="BJ81" i="12"/>
  <c r="BJ82" i="12"/>
  <c r="BJ83" i="12"/>
  <c r="BJ84" i="12"/>
  <c r="BJ85" i="12"/>
  <c r="BJ86" i="12"/>
  <c r="BJ87" i="12"/>
  <c r="BJ88" i="12"/>
  <c r="BJ89" i="12"/>
  <c r="BJ90" i="12"/>
  <c r="BJ91" i="12"/>
  <c r="BJ92" i="12"/>
  <c r="BJ93" i="12"/>
  <c r="BJ94" i="12"/>
  <c r="BJ95" i="12"/>
  <c r="BJ96" i="12"/>
  <c r="BJ97" i="12"/>
  <c r="BJ98" i="12"/>
  <c r="BJ99" i="12"/>
  <c r="BJ100" i="12"/>
  <c r="BJ101" i="12"/>
  <c r="BJ102" i="12"/>
  <c r="BJ103" i="12"/>
  <c r="BJ104" i="12"/>
  <c r="BJ105" i="12"/>
  <c r="BJ106" i="12"/>
  <c r="BJ107" i="12"/>
  <c r="BJ108" i="12"/>
  <c r="BJ63" i="12"/>
  <c r="BJ64" i="12"/>
  <c r="BJ65" i="12"/>
  <c r="BJ67" i="12"/>
  <c r="BJ71" i="12"/>
  <c r="BJ72" i="12"/>
  <c r="BJ109" i="12"/>
  <c r="BJ113" i="12"/>
  <c r="BJ114" i="12"/>
  <c r="BJ115" i="12"/>
  <c r="BJ122" i="12"/>
  <c r="BJ123" i="12"/>
  <c r="BJ116" i="12"/>
  <c r="BJ117" i="12"/>
  <c r="BJ124" i="12"/>
  <c r="BJ125" i="12"/>
  <c r="BJ132" i="12"/>
  <c r="BJ133" i="12"/>
  <c r="BJ110" i="12"/>
  <c r="BJ112" i="12"/>
  <c r="BJ118" i="12"/>
  <c r="BJ119" i="12"/>
  <c r="BJ126" i="12"/>
  <c r="BJ127" i="12"/>
  <c r="BJ120" i="12"/>
  <c r="BJ128" i="12"/>
  <c r="BJ130" i="12"/>
  <c r="BJ134" i="12"/>
  <c r="BJ135" i="12"/>
  <c r="BJ146" i="12"/>
  <c r="BJ147" i="12"/>
  <c r="BJ156" i="12"/>
  <c r="BJ157" i="12"/>
  <c r="BJ164" i="12"/>
  <c r="BJ165" i="12"/>
  <c r="BJ129" i="12"/>
  <c r="BJ136" i="12"/>
  <c r="BJ137" i="12"/>
  <c r="BJ138" i="12"/>
  <c r="BJ139" i="12"/>
  <c r="BJ140" i="12"/>
  <c r="BJ141" i="12"/>
  <c r="BJ148" i="12"/>
  <c r="BJ149" i="12"/>
  <c r="BJ158" i="12"/>
  <c r="BJ159" i="12"/>
  <c r="BJ166" i="12"/>
  <c r="BJ167" i="12"/>
  <c r="BJ168" i="12"/>
  <c r="BJ169" i="12"/>
  <c r="BJ170" i="12"/>
  <c r="BJ171" i="12"/>
  <c r="BJ111" i="12"/>
  <c r="BJ121" i="12"/>
  <c r="BJ131" i="12"/>
  <c r="BJ142" i="12"/>
  <c r="BJ143" i="12"/>
  <c r="BJ150" i="12"/>
  <c r="BJ151" i="12"/>
  <c r="BJ152" i="12"/>
  <c r="BJ153" i="12"/>
  <c r="BJ160" i="12"/>
  <c r="BJ161" i="12"/>
  <c r="BJ172" i="12"/>
  <c r="BJ173" i="12"/>
  <c r="BJ182" i="12"/>
  <c r="BJ183" i="12"/>
  <c r="BJ193" i="12"/>
  <c r="BJ144" i="12"/>
  <c r="BJ145" i="12"/>
  <c r="BJ154" i="12"/>
  <c r="BJ155" i="12"/>
  <c r="BJ162" i="12"/>
  <c r="BJ163" i="12"/>
  <c r="BJ174" i="12"/>
  <c r="BJ175" i="12"/>
  <c r="BJ179" i="12"/>
  <c r="BJ186" i="12"/>
  <c r="BJ176" i="12"/>
  <c r="BJ177" i="12"/>
  <c r="BJ178" i="12"/>
  <c r="BJ187" i="12"/>
  <c r="BJ191" i="12"/>
  <c r="BJ196" i="12"/>
  <c r="BJ181" i="12"/>
  <c r="BJ185" i="12"/>
  <c r="BJ188" i="12"/>
  <c r="BJ192" i="12"/>
  <c r="BJ194" i="12"/>
  <c r="BJ198" i="12"/>
  <c r="BJ180" i="12"/>
  <c r="BJ184" i="12"/>
  <c r="BJ189" i="12"/>
  <c r="BJ195" i="12"/>
  <c r="BJ197" i="12"/>
  <c r="BJ199" i="12"/>
  <c r="BJ190" i="12"/>
  <c r="D10" i="6"/>
  <c r="BO76" i="12" l="1"/>
  <c r="BM76" i="12"/>
  <c r="A22" i="6"/>
  <c r="O10" i="16"/>
  <c r="P10" i="16" s="1"/>
  <c r="M17" i="6"/>
  <c r="I17" i="6"/>
  <c r="T10" i="16" l="1"/>
  <c r="S10" i="16"/>
  <c r="C2" i="6"/>
  <c r="A17" i="6" s="1"/>
  <c r="B13" i="8"/>
  <c r="BB335" i="12" l="1"/>
  <c r="BB334" i="12"/>
  <c r="BB332" i="12"/>
  <c r="BM332" i="12" s="1"/>
  <c r="BB333" i="12"/>
  <c r="BB331" i="12"/>
  <c r="BB330" i="12"/>
  <c r="BB329" i="12"/>
  <c r="BO329" i="12" s="1"/>
  <c r="BB328" i="12"/>
  <c r="BB326" i="12"/>
  <c r="BM326" i="12" s="1"/>
  <c r="BB327" i="12"/>
  <c r="BB325" i="12"/>
  <c r="BB324" i="12"/>
  <c r="BM324" i="12" s="1"/>
  <c r="BB322" i="12"/>
  <c r="BB323" i="12"/>
  <c r="BB320" i="12"/>
  <c r="BB321" i="12"/>
  <c r="BB318" i="12"/>
  <c r="BM318" i="12" s="1"/>
  <c r="BB319" i="12"/>
  <c r="BB316" i="12"/>
  <c r="BM316" i="12" s="1"/>
  <c r="BB317" i="12"/>
  <c r="BB315" i="12"/>
  <c r="BM315" i="12" s="1"/>
  <c r="BB313" i="12"/>
  <c r="BB314" i="12"/>
  <c r="BB311" i="12"/>
  <c r="BB312" i="12"/>
  <c r="BB309" i="12"/>
  <c r="BB310" i="12"/>
  <c r="BB307" i="12"/>
  <c r="BM307" i="12" s="1"/>
  <c r="BB308" i="12"/>
  <c r="BB305" i="12"/>
  <c r="BB306" i="12"/>
  <c r="BB303" i="12"/>
  <c r="BB304" i="12"/>
  <c r="BB301" i="12"/>
  <c r="BB302" i="12"/>
  <c r="BB299" i="12"/>
  <c r="BB300" i="12"/>
  <c r="BB298" i="12"/>
  <c r="BB296" i="12"/>
  <c r="BM296" i="12" s="1"/>
  <c r="BB297" i="12"/>
  <c r="BB294" i="12"/>
  <c r="BO294" i="12" s="1"/>
  <c r="BB295" i="12"/>
  <c r="BB284" i="12"/>
  <c r="BB288" i="12"/>
  <c r="BB292" i="12"/>
  <c r="BB285" i="12"/>
  <c r="BB289" i="12"/>
  <c r="BB287" i="12"/>
  <c r="BB291" i="12"/>
  <c r="BB293" i="12"/>
  <c r="BB286" i="12"/>
  <c r="BB290" i="12"/>
  <c r="BB283" i="12"/>
  <c r="BB281" i="12"/>
  <c r="BB282" i="12"/>
  <c r="BB280" i="12"/>
  <c r="BO280" i="12" s="1"/>
  <c r="BB279" i="12"/>
  <c r="BB278" i="12"/>
  <c r="BB277" i="12"/>
  <c r="BB275" i="12"/>
  <c r="BM275" i="12" s="1"/>
  <c r="BB276" i="12"/>
  <c r="BB274" i="12"/>
  <c r="BB273" i="12"/>
  <c r="BB272" i="12"/>
  <c r="BB270" i="12"/>
  <c r="BM270" i="12" s="1"/>
  <c r="BB271" i="12"/>
  <c r="BB269" i="12"/>
  <c r="BB268" i="12"/>
  <c r="BO268" i="12" s="1"/>
  <c r="BB266" i="12"/>
  <c r="BM266" i="12" s="1"/>
  <c r="BB267" i="12"/>
  <c r="BB265" i="12"/>
  <c r="BM265" i="12" s="1"/>
  <c r="BB263" i="12"/>
  <c r="BM263" i="12" s="1"/>
  <c r="BB264" i="12"/>
  <c r="BB262" i="12"/>
  <c r="BM262" i="12" s="1"/>
  <c r="BB261" i="12"/>
  <c r="BB259" i="12"/>
  <c r="BO259" i="12" s="1"/>
  <c r="BB260" i="12"/>
  <c r="BB257" i="12"/>
  <c r="BO257" i="12" s="1"/>
  <c r="BB258" i="12"/>
  <c r="BB255" i="12"/>
  <c r="BO255" i="12" s="1"/>
  <c r="BB256" i="12"/>
  <c r="BB254" i="12"/>
  <c r="BO254" i="12" s="1"/>
  <c r="BB253" i="12"/>
  <c r="BO253" i="12" s="1"/>
  <c r="BB251" i="12"/>
  <c r="BM251" i="12" s="1"/>
  <c r="BB252" i="12"/>
  <c r="BB250" i="12"/>
  <c r="BO250" i="12" s="1"/>
  <c r="BB248" i="12"/>
  <c r="BM248" i="12" s="1"/>
  <c r="BB249" i="12"/>
  <c r="BB247" i="12"/>
  <c r="BM247" i="12" s="1"/>
  <c r="BB245" i="12"/>
  <c r="BO245" i="12" s="1"/>
  <c r="BB246" i="12"/>
  <c r="BB244" i="12"/>
  <c r="BM244" i="12" s="1"/>
  <c r="BB240" i="12"/>
  <c r="BB236" i="12"/>
  <c r="BB232" i="12"/>
  <c r="BB228" i="12"/>
  <c r="BB243" i="12"/>
  <c r="BB239" i="12"/>
  <c r="BB235" i="12"/>
  <c r="BB231" i="12"/>
  <c r="BB227" i="12"/>
  <c r="BB242" i="12"/>
  <c r="BB238" i="12"/>
  <c r="BB234" i="12"/>
  <c r="BB230" i="12"/>
  <c r="BB241" i="12"/>
  <c r="BB237" i="12"/>
  <c r="BB233" i="12"/>
  <c r="BB229" i="12"/>
  <c r="AP69" i="8"/>
  <c r="AQ69" i="8" s="1"/>
  <c r="BT97" i="8"/>
  <c r="BU97" i="8" s="1"/>
  <c r="AJ28" i="8"/>
  <c r="AK28" i="8" s="1"/>
  <c r="AP55" i="8"/>
  <c r="AQ55" i="8" s="1"/>
  <c r="BT83" i="8"/>
  <c r="BU83" i="8" s="1"/>
  <c r="AJ42" i="8"/>
  <c r="AK42" i="8" s="1"/>
  <c r="BN69" i="8"/>
  <c r="BO69" i="8" s="1"/>
  <c r="BH84" i="8"/>
  <c r="BI84" i="8" s="1"/>
  <c r="BH27" i="8"/>
  <c r="BI27" i="8" s="1"/>
  <c r="BR97" i="8"/>
  <c r="BR84" i="8"/>
  <c r="BR83" i="8"/>
  <c r="BL42" i="8"/>
  <c r="AT28" i="8"/>
  <c r="AT27" i="8"/>
  <c r="BX99" i="8"/>
  <c r="BR57" i="8"/>
  <c r="BL29" i="8"/>
  <c r="AT85" i="8"/>
  <c r="AN56" i="8"/>
  <c r="AH43" i="8"/>
  <c r="AH29" i="8"/>
  <c r="AD28" i="8"/>
  <c r="AE28" i="8" s="1"/>
  <c r="BH69" i="8"/>
  <c r="BI69" i="8" s="1"/>
  <c r="BL97" i="8"/>
  <c r="AT43" i="8"/>
  <c r="AN99" i="8"/>
  <c r="AH56" i="8"/>
  <c r="AP41" i="8"/>
  <c r="AQ41" i="8" s="1"/>
  <c r="BT69" i="8"/>
  <c r="BU69" i="8" s="1"/>
  <c r="AD84" i="8"/>
  <c r="AE84" i="8" s="1"/>
  <c r="AP27" i="8"/>
  <c r="AQ27" i="8" s="1"/>
  <c r="BT55" i="8"/>
  <c r="BU55" i="8" s="1"/>
  <c r="AD98" i="8"/>
  <c r="AE98" i="8" s="1"/>
  <c r="BN41" i="8"/>
  <c r="BO41" i="8" s="1"/>
  <c r="BH56" i="8"/>
  <c r="BI56" i="8" s="1"/>
  <c r="BN98" i="8"/>
  <c r="BO98" i="8" s="1"/>
  <c r="BR98" i="8"/>
  <c r="BX83" i="8"/>
  <c r="BX70" i="8"/>
  <c r="BL55" i="8"/>
  <c r="AT98" i="8"/>
  <c r="AT56" i="8"/>
  <c r="BX85" i="8"/>
  <c r="BX30" i="8"/>
  <c r="AT99" i="8"/>
  <c r="AH85" i="8"/>
  <c r="AT57" i="8"/>
  <c r="AH41" i="8"/>
  <c r="AJ69" i="8"/>
  <c r="AK69" i="8" s="1"/>
  <c r="AP98" i="8"/>
  <c r="AQ98" i="8" s="1"/>
  <c r="BN83" i="8"/>
  <c r="BO83" i="8" s="1"/>
  <c r="AT84" i="8"/>
  <c r="BL27" i="8"/>
  <c r="AH69" i="8"/>
  <c r="AN28" i="8"/>
  <c r="AJ97" i="8"/>
  <c r="AK97" i="8" s="1"/>
  <c r="BT41" i="8"/>
  <c r="BU41" i="8" s="1"/>
  <c r="AD56" i="8"/>
  <c r="AE56" i="8" s="1"/>
  <c r="AJ83" i="8"/>
  <c r="AK83" i="8" s="1"/>
  <c r="BT27" i="8"/>
  <c r="BU27" i="8" s="1"/>
  <c r="AD70" i="8"/>
  <c r="AE70" i="8" s="1"/>
  <c r="BH97" i="8"/>
  <c r="BI97" i="8" s="1"/>
  <c r="BH28" i="8"/>
  <c r="BI28" i="8" s="1"/>
  <c r="BN70" i="8"/>
  <c r="BO70" i="8" s="1"/>
  <c r="BX97" i="8"/>
  <c r="AH83" i="8"/>
  <c r="BR70" i="8"/>
  <c r="BR42" i="8"/>
  <c r="BX27" i="8"/>
  <c r="AT70" i="8"/>
  <c r="BL28" i="8"/>
  <c r="BL85" i="8"/>
  <c r="BR30" i="8"/>
  <c r="BR43" i="8"/>
  <c r="AN98" i="8"/>
  <c r="AN85" i="8"/>
  <c r="AN57" i="8"/>
  <c r="AH42" i="8"/>
  <c r="AP84" i="8"/>
  <c r="AQ84" i="8" s="1"/>
  <c r="AJ55" i="8"/>
  <c r="AK55" i="8" s="1"/>
  <c r="AD42" i="8"/>
  <c r="AE42" i="8" s="1"/>
  <c r="BN42" i="8"/>
  <c r="BO42" i="8" s="1"/>
  <c r="BX69" i="8"/>
  <c r="BR55" i="8"/>
  <c r="BX29" i="8"/>
  <c r="BR85" i="8"/>
  <c r="BL44" i="8"/>
  <c r="AD97" i="8"/>
  <c r="AE97" i="8" s="1"/>
  <c r="AP28" i="8"/>
  <c r="AQ28" i="8" s="1"/>
  <c r="BT56" i="8"/>
  <c r="BU56" i="8" s="1"/>
  <c r="AD83" i="8"/>
  <c r="AE83" i="8" s="1"/>
  <c r="AP42" i="8"/>
  <c r="AQ42" i="8" s="1"/>
  <c r="BT70" i="8"/>
  <c r="BU70" i="8" s="1"/>
  <c r="BN84" i="8"/>
  <c r="BO84" i="8" s="1"/>
  <c r="BN27" i="8"/>
  <c r="BO27" i="8" s="1"/>
  <c r="BH70" i="8"/>
  <c r="BI70" i="8" s="1"/>
  <c r="BL84" i="8"/>
  <c r="AN83" i="8"/>
  <c r="BR69" i="8"/>
  <c r="BX56" i="8"/>
  <c r="BX41" i="8"/>
  <c r="BX28" i="8"/>
  <c r="AT97" i="8"/>
  <c r="BR28" i="8"/>
  <c r="BR58" i="8"/>
  <c r="BX44" i="8"/>
  <c r="AH98" i="8"/>
  <c r="AN70" i="8"/>
  <c r="AN41" i="8"/>
  <c r="AN29" i="8"/>
  <c r="AD69" i="8"/>
  <c r="AE69" i="8" s="1"/>
  <c r="AJ84" i="8"/>
  <c r="AK84" i="8" s="1"/>
  <c r="BT28" i="8"/>
  <c r="BU28" i="8" s="1"/>
  <c r="AD55" i="8"/>
  <c r="AE55" i="8" s="1"/>
  <c r="AJ98" i="8"/>
  <c r="AK98" i="8" s="1"/>
  <c r="BT42" i="8"/>
  <c r="BU42" i="8" s="1"/>
  <c r="AP56" i="8"/>
  <c r="AQ56" i="8" s="1"/>
  <c r="BT98" i="8"/>
  <c r="BU98" i="8" s="1"/>
  <c r="BH98" i="8"/>
  <c r="BI98" i="8" s="1"/>
  <c r="AH84" i="8"/>
  <c r="BR56" i="8"/>
  <c r="BX43" i="8"/>
  <c r="BR99" i="8"/>
  <c r="BR44" i="8"/>
  <c r="AN97" i="8"/>
  <c r="AN27" i="8"/>
  <c r="BL30" i="8"/>
  <c r="AJ41" i="8"/>
  <c r="AK41" i="8" s="1"/>
  <c r="AD41" i="8"/>
  <c r="AE41" i="8" s="1"/>
  <c r="AJ56" i="8"/>
  <c r="AK56" i="8" s="1"/>
  <c r="BN97" i="8"/>
  <c r="BO97" i="8" s="1"/>
  <c r="BH42" i="8"/>
  <c r="BI42" i="8" s="1"/>
  <c r="BL70" i="8"/>
  <c r="BL56" i="8"/>
  <c r="AT41" i="8"/>
  <c r="BL57" i="8"/>
  <c r="BX57" i="8"/>
  <c r="AH70" i="8"/>
  <c r="AH28" i="8"/>
  <c r="AN69" i="8"/>
  <c r="BN56" i="8"/>
  <c r="BO56" i="8" s="1"/>
  <c r="BN28" i="8"/>
  <c r="BO28" i="8" s="1"/>
  <c r="BL41" i="8"/>
  <c r="AT69" i="8"/>
  <c r="BL83" i="8"/>
  <c r="BX84" i="8"/>
  <c r="BL99" i="8"/>
  <c r="AH97" i="8"/>
  <c r="BT84" i="8"/>
  <c r="BU84" i="8" s="1"/>
  <c r="BH41" i="8"/>
  <c r="BI41" i="8" s="1"/>
  <c r="BL98" i="8"/>
  <c r="BL69" i="8"/>
  <c r="BX55" i="8"/>
  <c r="AT55" i="8"/>
  <c r="BX58" i="8"/>
  <c r="BL43" i="8"/>
  <c r="AP83" i="8"/>
  <c r="AQ83" i="8" s="1"/>
  <c r="BX98" i="8"/>
  <c r="BX42" i="8"/>
  <c r="AT29" i="8"/>
  <c r="BL58" i="8"/>
  <c r="AN55" i="8"/>
  <c r="AJ27" i="8"/>
  <c r="AK27" i="8" s="1"/>
  <c r="AN84" i="8"/>
  <c r="AH55" i="8"/>
  <c r="AP70" i="8"/>
  <c r="AQ70" i="8" s="1"/>
  <c r="BR27" i="8"/>
  <c r="AN43" i="8"/>
  <c r="BH55" i="8"/>
  <c r="BI55" i="8" s="1"/>
  <c r="AH27" i="8"/>
  <c r="AP97" i="8"/>
  <c r="AQ97" i="8" s="1"/>
  <c r="AD27" i="8"/>
  <c r="AE27" i="8" s="1"/>
  <c r="BN55" i="8"/>
  <c r="BO55" i="8" s="1"/>
  <c r="AT83" i="8"/>
  <c r="BR41" i="8"/>
  <c r="AT42" i="8"/>
  <c r="BR29" i="8"/>
  <c r="AN42" i="8"/>
  <c r="BH83" i="8"/>
  <c r="BI83" i="8" s="1"/>
  <c r="AH99" i="8"/>
  <c r="AJ70" i="8"/>
  <c r="AK70" i="8" s="1"/>
  <c r="R82" i="8"/>
  <c r="R54" i="8"/>
  <c r="R26" i="8"/>
  <c r="R96" i="8"/>
  <c r="R83" i="8"/>
  <c r="V83" i="8" s="1"/>
  <c r="X83" i="8" s="1"/>
  <c r="R27" i="8"/>
  <c r="V27" i="8" s="1"/>
  <c r="X27" i="8" s="1"/>
  <c r="R97" i="8"/>
  <c r="V97" i="8" s="1"/>
  <c r="X97" i="8" s="1"/>
  <c r="R68" i="8"/>
  <c r="R40" i="8"/>
  <c r="R69" i="8"/>
  <c r="V69" i="8" s="1"/>
  <c r="X69" i="8" s="1"/>
  <c r="R41" i="8"/>
  <c r="V41" i="8" s="1"/>
  <c r="X41" i="8" s="1"/>
  <c r="AH57" i="8"/>
  <c r="R55" i="8"/>
  <c r="V55" i="8" s="1"/>
  <c r="X55" i="8" s="1"/>
  <c r="BB221" i="12"/>
  <c r="BB200" i="12"/>
  <c r="BB202" i="12"/>
  <c r="BB18" i="12"/>
  <c r="BB19" i="12"/>
  <c r="BB28" i="12"/>
  <c r="BB15" i="12"/>
  <c r="BB44" i="12"/>
  <c r="BB42" i="12"/>
  <c r="BB43" i="12"/>
  <c r="BB69" i="12"/>
  <c r="BB64" i="12"/>
  <c r="BB82" i="12"/>
  <c r="BB90" i="12"/>
  <c r="BB98" i="12"/>
  <c r="BB106" i="12"/>
  <c r="BB122" i="12"/>
  <c r="BB125" i="12"/>
  <c r="BB120" i="12"/>
  <c r="BB130" i="12"/>
  <c r="BB148" i="12"/>
  <c r="BB170" i="12"/>
  <c r="BB153" i="12"/>
  <c r="BB129" i="12"/>
  <c r="BB174" i="12"/>
  <c r="BB189" i="12"/>
  <c r="BB223" i="12"/>
  <c r="BB13" i="12"/>
  <c r="BB60" i="12"/>
  <c r="BB73" i="12"/>
  <c r="BB93" i="12"/>
  <c r="BB111" i="12"/>
  <c r="BB159" i="12"/>
  <c r="BB177" i="12"/>
  <c r="BB224" i="12"/>
  <c r="BB201" i="12"/>
  <c r="BB14" i="12"/>
  <c r="BB32" i="12"/>
  <c r="BB56" i="12"/>
  <c r="BB86" i="12"/>
  <c r="BB72" i="12"/>
  <c r="BB156" i="12"/>
  <c r="BB143" i="12"/>
  <c r="BB178" i="12"/>
  <c r="BB222" i="12"/>
  <c r="BB204" i="12"/>
  <c r="BB206" i="12"/>
  <c r="BB24" i="12"/>
  <c r="BB27" i="12"/>
  <c r="BB29" i="12"/>
  <c r="BB23" i="12"/>
  <c r="BB45" i="12"/>
  <c r="BB48" i="12"/>
  <c r="BB53" i="12"/>
  <c r="BB70" i="12"/>
  <c r="BB65" i="12"/>
  <c r="BB83" i="12"/>
  <c r="BB91" i="12"/>
  <c r="BB99" i="12"/>
  <c r="BB107" i="12"/>
  <c r="BB123" i="12"/>
  <c r="BB132" i="12"/>
  <c r="BB135" i="12"/>
  <c r="BB134" i="12"/>
  <c r="BB149" i="12"/>
  <c r="BB171" i="12"/>
  <c r="BB160" i="12"/>
  <c r="BB131" i="12"/>
  <c r="BB175" i="12"/>
  <c r="BB180" i="12"/>
  <c r="BB226" i="12"/>
  <c r="BB215" i="12"/>
  <c r="BB212" i="12"/>
  <c r="BB197" i="12"/>
  <c r="BB199" i="12"/>
  <c r="BB26" i="12"/>
  <c r="BB39" i="12"/>
  <c r="BB55" i="12"/>
  <c r="BB85" i="12"/>
  <c r="BB71" i="12"/>
  <c r="BB118" i="12"/>
  <c r="BB137" i="12"/>
  <c r="BB172" i="12"/>
  <c r="BB47" i="12"/>
  <c r="BB74" i="12"/>
  <c r="BB94" i="12"/>
  <c r="BB113" i="12"/>
  <c r="BB138" i="12"/>
  <c r="BB173" i="12"/>
  <c r="BB179" i="12"/>
  <c r="BB225" i="12"/>
  <c r="BB217" i="12"/>
  <c r="BB214" i="12"/>
  <c r="BB208" i="12"/>
  <c r="BB193" i="12"/>
  <c r="BB195" i="12"/>
  <c r="BB25" i="12"/>
  <c r="BB7" i="12"/>
  <c r="BB30" i="12"/>
  <c r="BB31" i="12"/>
  <c r="BB46" i="12"/>
  <c r="BB49" i="12"/>
  <c r="BB54" i="12"/>
  <c r="BB67" i="12"/>
  <c r="BB68" i="12"/>
  <c r="BB84" i="12"/>
  <c r="BB92" i="12"/>
  <c r="BB100" i="12"/>
  <c r="BB108" i="12"/>
  <c r="BB109" i="12"/>
  <c r="BB133" i="12"/>
  <c r="BB146" i="12"/>
  <c r="BB136" i="12"/>
  <c r="BB158" i="12"/>
  <c r="BB121" i="12"/>
  <c r="BB161" i="12"/>
  <c r="BB144" i="12"/>
  <c r="BB176" i="12"/>
  <c r="BB186" i="12"/>
  <c r="BB36" i="12"/>
  <c r="BB50" i="12"/>
  <c r="BB77" i="12"/>
  <c r="BB101" i="12"/>
  <c r="BB147" i="12"/>
  <c r="BB142" i="12"/>
  <c r="BB145" i="12"/>
  <c r="BB190" i="12"/>
  <c r="BB216" i="12"/>
  <c r="BB209" i="12"/>
  <c r="BB203" i="12"/>
  <c r="BB4" i="12"/>
  <c r="BB37" i="12"/>
  <c r="BB51" i="12"/>
  <c r="BB78" i="12"/>
  <c r="BB102" i="12"/>
  <c r="BB119" i="12"/>
  <c r="BB166" i="12"/>
  <c r="BB154" i="12"/>
  <c r="BB218" i="12"/>
  <c r="BB213" i="12"/>
  <c r="BB205" i="12"/>
  <c r="BB207" i="12"/>
  <c r="BB11" i="12"/>
  <c r="BB5" i="12"/>
  <c r="BB20" i="12"/>
  <c r="BB8" i="12"/>
  <c r="BB33" i="12"/>
  <c r="BB61" i="12"/>
  <c r="BB52" i="12"/>
  <c r="BB57" i="12"/>
  <c r="BB75" i="12"/>
  <c r="BB79" i="12"/>
  <c r="BB87" i="12"/>
  <c r="BB95" i="12"/>
  <c r="BB103" i="12"/>
  <c r="BB110" i="12"/>
  <c r="BB116" i="12"/>
  <c r="BB126" i="12"/>
  <c r="BB157" i="12"/>
  <c r="BB139" i="12"/>
  <c r="BB167" i="12"/>
  <c r="BB150" i="12"/>
  <c r="BB182" i="12"/>
  <c r="BB155" i="12"/>
  <c r="BB184" i="12"/>
  <c r="BB185" i="12"/>
  <c r="BB219" i="12"/>
  <c r="BB211" i="12"/>
  <c r="BB192" i="12"/>
  <c r="BB194" i="12"/>
  <c r="BB16" i="12"/>
  <c r="BB6" i="12"/>
  <c r="BB21" i="12"/>
  <c r="BB9" i="12"/>
  <c r="BB34" i="12"/>
  <c r="BB62" i="12"/>
  <c r="BB38" i="12"/>
  <c r="BB58" i="12"/>
  <c r="BB66" i="12"/>
  <c r="BB80" i="12"/>
  <c r="BB88" i="12"/>
  <c r="BB96" i="12"/>
  <c r="BB104" i="12"/>
  <c r="BB114" i="12"/>
  <c r="BB117" i="12"/>
  <c r="BB127" i="12"/>
  <c r="BB164" i="12"/>
  <c r="BB140" i="12"/>
  <c r="BB168" i="12"/>
  <c r="BB151" i="12"/>
  <c r="BB183" i="12"/>
  <c r="BB162" i="12"/>
  <c r="BB188" i="12"/>
  <c r="BB187" i="12"/>
  <c r="BB22" i="12"/>
  <c r="BB89" i="12"/>
  <c r="BB169" i="12"/>
  <c r="BB220" i="12"/>
  <c r="BB10" i="12"/>
  <c r="BB97" i="12"/>
  <c r="BB152" i="12"/>
  <c r="BB115" i="12"/>
  <c r="BB124" i="12"/>
  <c r="BB181" i="12"/>
  <c r="BB165" i="12"/>
  <c r="BB141" i="12"/>
  <c r="BB35" i="12"/>
  <c r="BB105" i="12"/>
  <c r="BB128" i="12"/>
  <c r="BB41" i="12"/>
  <c r="BB163" i="12"/>
  <c r="BB40" i="12"/>
  <c r="BB210" i="12"/>
  <c r="BB63" i="12"/>
  <c r="BB81" i="12"/>
  <c r="BB196" i="12"/>
  <c r="BB59" i="12"/>
  <c r="BB112" i="12"/>
  <c r="BB191" i="12"/>
  <c r="BB198" i="12"/>
  <c r="BB17" i="12"/>
  <c r="BB12" i="12"/>
  <c r="BO332" i="12" l="1"/>
  <c r="BO334" i="12"/>
  <c r="BM334" i="12"/>
  <c r="BO335" i="12"/>
  <c r="BM335" i="12"/>
  <c r="BO333" i="12"/>
  <c r="BM333" i="12"/>
  <c r="BM330" i="12"/>
  <c r="BO330" i="12"/>
  <c r="BM331" i="12"/>
  <c r="BO331" i="12"/>
  <c r="BM329" i="12"/>
  <c r="BO328" i="12"/>
  <c r="BM328" i="12"/>
  <c r="BO326" i="12"/>
  <c r="BM327" i="12"/>
  <c r="BO327" i="12"/>
  <c r="BM325" i="12"/>
  <c r="BO325" i="12"/>
  <c r="BO324" i="12"/>
  <c r="BO319" i="12"/>
  <c r="BM319" i="12"/>
  <c r="BM321" i="12"/>
  <c r="BO321" i="12"/>
  <c r="BM320" i="12"/>
  <c r="BO320" i="12"/>
  <c r="BM323" i="12"/>
  <c r="BO323" i="12"/>
  <c r="BM322" i="12"/>
  <c r="BO322" i="12"/>
  <c r="BO318" i="12"/>
  <c r="BO316" i="12"/>
  <c r="BO317" i="12"/>
  <c r="BM317" i="12"/>
  <c r="BO315" i="12"/>
  <c r="BM314" i="12"/>
  <c r="BO314" i="12"/>
  <c r="BO313" i="12"/>
  <c r="BM313" i="12"/>
  <c r="BM308" i="12"/>
  <c r="BO308" i="12"/>
  <c r="BM310" i="12"/>
  <c r="BO310" i="12"/>
  <c r="BM309" i="12"/>
  <c r="BO309" i="12"/>
  <c r="BO312" i="12"/>
  <c r="BM312" i="12"/>
  <c r="BM311" i="12"/>
  <c r="BO311" i="12"/>
  <c r="BO307" i="12"/>
  <c r="BM300" i="12"/>
  <c r="BO300" i="12"/>
  <c r="BM299" i="12"/>
  <c r="BO299" i="12"/>
  <c r="BM302" i="12"/>
  <c r="BO302" i="12"/>
  <c r="BM301" i="12"/>
  <c r="BO301" i="12"/>
  <c r="BM304" i="12"/>
  <c r="BO304" i="12"/>
  <c r="BM303" i="12"/>
  <c r="BO303" i="12"/>
  <c r="BM306" i="12"/>
  <c r="BO306" i="12"/>
  <c r="BM305" i="12"/>
  <c r="BO305" i="12"/>
  <c r="BM298" i="12"/>
  <c r="BO298" i="12"/>
  <c r="BO296" i="12"/>
  <c r="BO297" i="12"/>
  <c r="BM297" i="12"/>
  <c r="BM295" i="12"/>
  <c r="BO295" i="12"/>
  <c r="BM294" i="12"/>
  <c r="BO291" i="12"/>
  <c r="BM291" i="12"/>
  <c r="BO293" i="12"/>
  <c r="BM293" i="12"/>
  <c r="BO287" i="12"/>
  <c r="BM287" i="12"/>
  <c r="BO289" i="12"/>
  <c r="BM289" i="12"/>
  <c r="BO285" i="12"/>
  <c r="BM285" i="12"/>
  <c r="BO292" i="12"/>
  <c r="BM292" i="12"/>
  <c r="BO290" i="12"/>
  <c r="BM290" i="12"/>
  <c r="BO288" i="12"/>
  <c r="BM288" i="12"/>
  <c r="BO286" i="12"/>
  <c r="BM286" i="12"/>
  <c r="BO284" i="12"/>
  <c r="BM284" i="12"/>
  <c r="BO283" i="12"/>
  <c r="BM283" i="12"/>
  <c r="BO282" i="12"/>
  <c r="BM282" i="12"/>
  <c r="BM281" i="12"/>
  <c r="BO281" i="12"/>
  <c r="BM280" i="12"/>
  <c r="BO279" i="12"/>
  <c r="BM279" i="12"/>
  <c r="BM278" i="12"/>
  <c r="BO278" i="12"/>
  <c r="BM277" i="12"/>
  <c r="BO277" i="12"/>
  <c r="BO275" i="12"/>
  <c r="BO276" i="12"/>
  <c r="BM276" i="12"/>
  <c r="BM273" i="12"/>
  <c r="BO273" i="12"/>
  <c r="BM274" i="12"/>
  <c r="BO274" i="12"/>
  <c r="BO272" i="12"/>
  <c r="BM272" i="12"/>
  <c r="BO270" i="12"/>
  <c r="BM271" i="12"/>
  <c r="BO271" i="12"/>
  <c r="BM269" i="12"/>
  <c r="BO269" i="12"/>
  <c r="BM268" i="12"/>
  <c r="BO266" i="12"/>
  <c r="BO267" i="12"/>
  <c r="BM267" i="12"/>
  <c r="BZ99" i="8"/>
  <c r="CD99" i="8" s="1"/>
  <c r="CF99" i="8" s="1"/>
  <c r="BO265" i="12"/>
  <c r="BO263" i="12"/>
  <c r="BO264" i="12"/>
  <c r="BM264" i="12"/>
  <c r="BO262" i="12"/>
  <c r="BM261" i="12"/>
  <c r="BO261" i="12"/>
  <c r="BM259" i="12"/>
  <c r="BM260" i="12"/>
  <c r="BO260" i="12"/>
  <c r="BM257" i="12"/>
  <c r="BM258" i="12"/>
  <c r="BO258" i="12"/>
  <c r="BM255" i="12"/>
  <c r="BO256" i="12"/>
  <c r="BM256" i="12"/>
  <c r="BM254" i="12"/>
  <c r="BM253" i="12"/>
  <c r="BO251" i="12"/>
  <c r="BM252" i="12"/>
  <c r="BO252" i="12"/>
  <c r="BM250" i="12"/>
  <c r="BO248" i="12"/>
  <c r="BO249" i="12"/>
  <c r="BM249" i="12"/>
  <c r="BM245" i="12"/>
  <c r="BO247" i="12"/>
  <c r="BM246" i="12"/>
  <c r="BO246" i="12"/>
  <c r="BO244" i="12"/>
  <c r="BO127" i="12"/>
  <c r="BM127" i="12"/>
  <c r="BO95" i="12"/>
  <c r="BM95" i="12"/>
  <c r="BO77" i="12"/>
  <c r="BM77" i="12"/>
  <c r="BO137" i="12"/>
  <c r="BM137" i="12"/>
  <c r="BO91" i="12"/>
  <c r="BM91" i="12"/>
  <c r="BO189" i="12"/>
  <c r="BM189" i="12"/>
  <c r="BO200" i="12"/>
  <c r="BM200" i="12"/>
  <c r="BO239" i="12"/>
  <c r="BM239" i="12"/>
  <c r="BM188" i="12"/>
  <c r="BO188" i="12"/>
  <c r="BO192" i="12"/>
  <c r="BM192" i="12"/>
  <c r="BO166" i="12"/>
  <c r="BM166" i="12"/>
  <c r="BO136" i="12"/>
  <c r="BM136" i="12"/>
  <c r="BO118" i="12"/>
  <c r="BM118" i="12"/>
  <c r="BO27" i="12"/>
  <c r="BM27" i="12"/>
  <c r="BM196" i="12"/>
  <c r="BO196" i="12"/>
  <c r="BM114" i="12"/>
  <c r="BO114" i="12"/>
  <c r="BO5" i="12"/>
  <c r="BM5" i="12"/>
  <c r="BO67" i="12"/>
  <c r="BM67" i="12"/>
  <c r="BO134" i="12"/>
  <c r="BM134" i="12"/>
  <c r="BO228" i="12"/>
  <c r="BM228" i="12"/>
  <c r="BM10" i="12"/>
  <c r="BO10" i="12"/>
  <c r="BM34" i="12"/>
  <c r="BO34" i="12"/>
  <c r="BO11" i="12"/>
  <c r="BM11" i="12"/>
  <c r="BO133" i="12"/>
  <c r="BM133" i="12"/>
  <c r="BO85" i="12"/>
  <c r="BM85" i="12"/>
  <c r="BO56" i="12"/>
  <c r="BM56" i="12"/>
  <c r="BO15" i="12"/>
  <c r="BM15" i="12"/>
  <c r="BO238" i="12"/>
  <c r="BM238" i="12"/>
  <c r="BO63" i="12"/>
  <c r="BM63" i="12"/>
  <c r="BO220" i="12"/>
  <c r="BM220" i="12"/>
  <c r="BO151" i="12"/>
  <c r="BM151" i="12"/>
  <c r="BM96" i="12"/>
  <c r="BO96" i="12"/>
  <c r="BM9" i="12"/>
  <c r="BO9" i="12"/>
  <c r="BO185" i="12"/>
  <c r="BM185" i="12"/>
  <c r="BO126" i="12"/>
  <c r="BM126" i="12"/>
  <c r="BM57" i="12"/>
  <c r="BO57" i="12"/>
  <c r="BM207" i="12"/>
  <c r="BO207" i="12"/>
  <c r="BO78" i="12"/>
  <c r="BM78" i="12"/>
  <c r="BO145" i="12"/>
  <c r="BM145" i="12"/>
  <c r="BM176" i="12"/>
  <c r="BO176" i="12"/>
  <c r="BO109" i="12"/>
  <c r="BM109" i="12"/>
  <c r="BO49" i="12"/>
  <c r="BM49" i="12"/>
  <c r="BM208" i="12"/>
  <c r="BO208" i="12"/>
  <c r="BO94" i="12"/>
  <c r="BM94" i="12"/>
  <c r="BO55" i="12"/>
  <c r="BM55" i="12"/>
  <c r="BM180" i="12"/>
  <c r="BO180" i="12"/>
  <c r="BM132" i="12"/>
  <c r="BO132" i="12"/>
  <c r="BO53" i="12"/>
  <c r="BM53" i="12"/>
  <c r="BM204" i="12"/>
  <c r="BO204" i="12"/>
  <c r="BO32" i="12"/>
  <c r="BM32" i="12"/>
  <c r="BM73" i="12"/>
  <c r="BO73" i="12"/>
  <c r="BM170" i="12"/>
  <c r="BO170" i="12"/>
  <c r="BM90" i="12"/>
  <c r="BO90" i="12"/>
  <c r="BM28" i="12"/>
  <c r="BO28" i="12"/>
  <c r="BM242" i="12"/>
  <c r="BO242" i="12"/>
  <c r="BO236" i="12"/>
  <c r="BM236" i="12"/>
  <c r="BO41" i="12"/>
  <c r="BM41" i="12"/>
  <c r="BM58" i="12"/>
  <c r="BO58" i="12"/>
  <c r="BO8" i="12"/>
  <c r="BM8" i="12"/>
  <c r="BO158" i="12"/>
  <c r="BM158" i="12"/>
  <c r="BO179" i="12"/>
  <c r="BM179" i="12"/>
  <c r="BO171" i="12"/>
  <c r="BM171" i="12"/>
  <c r="BO177" i="12"/>
  <c r="BM177" i="12"/>
  <c r="BO125" i="12"/>
  <c r="BM125" i="12"/>
  <c r="BO59" i="12"/>
  <c r="BM59" i="12"/>
  <c r="BO117" i="12"/>
  <c r="BM117" i="12"/>
  <c r="BO87" i="12"/>
  <c r="BM87" i="12"/>
  <c r="BO209" i="12"/>
  <c r="BM209" i="12"/>
  <c r="BM68" i="12"/>
  <c r="BO68" i="12"/>
  <c r="BM212" i="12"/>
  <c r="BO212" i="12"/>
  <c r="BO83" i="12"/>
  <c r="BM83" i="12"/>
  <c r="BM159" i="12"/>
  <c r="BO159" i="12"/>
  <c r="BM122" i="12"/>
  <c r="BO122" i="12"/>
  <c r="BO221" i="12"/>
  <c r="BM221" i="12"/>
  <c r="BM162" i="12"/>
  <c r="BO162" i="12"/>
  <c r="BO139" i="12"/>
  <c r="BM139" i="12"/>
  <c r="BM216" i="12"/>
  <c r="BO216" i="12"/>
  <c r="BO71" i="12"/>
  <c r="BM71" i="12"/>
  <c r="BM234" i="12"/>
  <c r="BO234" i="12"/>
  <c r="BO35" i="12"/>
  <c r="BM35" i="12"/>
  <c r="BO219" i="12"/>
  <c r="BM219" i="12"/>
  <c r="BO102" i="12"/>
  <c r="BM102" i="12"/>
  <c r="BO54" i="12"/>
  <c r="BM54" i="12"/>
  <c r="BM226" i="12"/>
  <c r="BO226" i="12"/>
  <c r="BO93" i="12"/>
  <c r="BM93" i="12"/>
  <c r="BM210" i="12"/>
  <c r="BO210" i="12"/>
  <c r="BM168" i="12"/>
  <c r="BO168" i="12"/>
  <c r="BO88" i="12"/>
  <c r="BM88" i="12"/>
  <c r="BO21" i="12"/>
  <c r="BM21" i="12"/>
  <c r="BO184" i="12"/>
  <c r="BM184" i="12"/>
  <c r="BM116" i="12"/>
  <c r="BO116" i="12"/>
  <c r="BM52" i="12"/>
  <c r="BO52" i="12"/>
  <c r="BO205" i="12"/>
  <c r="BM205" i="12"/>
  <c r="BO51" i="12"/>
  <c r="BM51" i="12"/>
  <c r="BO142" i="12"/>
  <c r="BM142" i="12"/>
  <c r="BO144" i="12"/>
  <c r="BM144" i="12"/>
  <c r="BM108" i="12"/>
  <c r="BO108" i="12"/>
  <c r="BO46" i="12"/>
  <c r="BM46" i="12"/>
  <c r="BO214" i="12"/>
  <c r="BM214" i="12"/>
  <c r="BM74" i="12"/>
  <c r="BO74" i="12"/>
  <c r="BO39" i="12"/>
  <c r="BM39" i="12"/>
  <c r="BO175" i="12"/>
  <c r="BM175" i="12"/>
  <c r="BO123" i="12"/>
  <c r="BM123" i="12"/>
  <c r="BM48" i="12"/>
  <c r="BO48" i="12"/>
  <c r="BO222" i="12"/>
  <c r="BM222" i="12"/>
  <c r="BO14" i="12"/>
  <c r="BM14" i="12"/>
  <c r="BM60" i="12"/>
  <c r="BO60" i="12"/>
  <c r="BM148" i="12"/>
  <c r="BO148" i="12"/>
  <c r="BM82" i="12"/>
  <c r="BO82" i="12"/>
  <c r="BO19" i="12"/>
  <c r="BM19" i="12"/>
  <c r="BO229" i="12"/>
  <c r="BM229" i="12"/>
  <c r="BO227" i="12"/>
  <c r="BM227" i="12"/>
  <c r="BO240" i="12"/>
  <c r="BM240" i="12"/>
  <c r="BO115" i="12"/>
  <c r="BM115" i="12"/>
  <c r="BM194" i="12"/>
  <c r="BO194" i="12"/>
  <c r="BO203" i="12"/>
  <c r="BM203" i="12"/>
  <c r="BO7" i="12"/>
  <c r="BM7" i="12"/>
  <c r="BO29" i="12"/>
  <c r="BM29" i="12"/>
  <c r="BM128" i="12"/>
  <c r="BO128" i="12"/>
  <c r="BO167" i="12"/>
  <c r="BM167" i="12"/>
  <c r="BO173" i="12"/>
  <c r="BM173" i="12"/>
  <c r="BO243" i="12"/>
  <c r="BM243" i="12"/>
  <c r="BM97" i="12"/>
  <c r="BO97" i="12"/>
  <c r="BO62" i="12"/>
  <c r="BM62" i="12"/>
  <c r="BO79" i="12"/>
  <c r="BM79" i="12"/>
  <c r="BM36" i="12"/>
  <c r="BO36" i="12"/>
  <c r="BO195" i="12"/>
  <c r="BM195" i="12"/>
  <c r="BO215" i="12"/>
  <c r="BM215" i="12"/>
  <c r="BO86" i="12"/>
  <c r="BM86" i="12"/>
  <c r="BM129" i="12"/>
  <c r="BO129" i="12"/>
  <c r="BM44" i="12"/>
  <c r="BO44" i="12"/>
  <c r="BM81" i="12"/>
  <c r="BO81" i="12"/>
  <c r="BO104" i="12"/>
  <c r="BM104" i="12"/>
  <c r="BO75" i="12"/>
  <c r="BM75" i="12"/>
  <c r="BM186" i="12"/>
  <c r="BO186" i="12"/>
  <c r="BO113" i="12"/>
  <c r="BM113" i="12"/>
  <c r="BO70" i="12"/>
  <c r="BM70" i="12"/>
  <c r="BM153" i="12"/>
  <c r="BO153" i="12"/>
  <c r="BM12" i="12"/>
  <c r="BO12" i="12"/>
  <c r="BO17" i="12"/>
  <c r="BM17" i="12"/>
  <c r="BO165" i="12"/>
  <c r="BM165" i="12"/>
  <c r="BO198" i="12"/>
  <c r="BM198" i="12"/>
  <c r="BO181" i="12"/>
  <c r="BM181" i="12"/>
  <c r="BO89" i="12"/>
  <c r="BM89" i="12"/>
  <c r="BM140" i="12"/>
  <c r="BO140" i="12"/>
  <c r="BO80" i="12"/>
  <c r="BM80" i="12"/>
  <c r="BO6" i="12"/>
  <c r="BM6" i="12"/>
  <c r="BO155" i="12"/>
  <c r="BM155" i="12"/>
  <c r="BO110" i="12"/>
  <c r="BM110" i="12"/>
  <c r="BO61" i="12"/>
  <c r="BM61" i="12"/>
  <c r="BO213" i="12"/>
  <c r="BM213" i="12"/>
  <c r="BO37" i="12"/>
  <c r="BM37" i="12"/>
  <c r="BO147" i="12"/>
  <c r="BM147" i="12"/>
  <c r="BO161" i="12"/>
  <c r="BM161" i="12"/>
  <c r="BM100" i="12"/>
  <c r="BO100" i="12"/>
  <c r="BM31" i="12"/>
  <c r="BO31" i="12"/>
  <c r="BO217" i="12"/>
  <c r="BM217" i="12"/>
  <c r="BO47" i="12"/>
  <c r="BM47" i="12"/>
  <c r="BM26" i="12"/>
  <c r="BO26" i="12"/>
  <c r="BO131" i="12"/>
  <c r="BM131" i="12"/>
  <c r="BO107" i="12"/>
  <c r="BM107" i="12"/>
  <c r="BO45" i="12"/>
  <c r="BM45" i="12"/>
  <c r="BM178" i="12"/>
  <c r="BO178" i="12"/>
  <c r="BM201" i="12"/>
  <c r="BO201" i="12"/>
  <c r="BO13" i="12"/>
  <c r="BM13" i="12"/>
  <c r="BM130" i="12"/>
  <c r="BO130" i="12"/>
  <c r="BM64" i="12"/>
  <c r="BO64" i="12"/>
  <c r="BM18" i="12"/>
  <c r="BO18" i="12"/>
  <c r="BO233" i="12"/>
  <c r="BM233" i="12"/>
  <c r="BM231" i="12"/>
  <c r="BO231" i="12"/>
  <c r="BO112" i="12"/>
  <c r="BM112" i="12"/>
  <c r="BO187" i="12"/>
  <c r="BM187" i="12"/>
  <c r="BO150" i="12"/>
  <c r="BM150" i="12"/>
  <c r="BM154" i="12"/>
  <c r="BO154" i="12"/>
  <c r="BM84" i="12"/>
  <c r="BO84" i="12"/>
  <c r="BO197" i="12"/>
  <c r="BM197" i="12"/>
  <c r="BM156" i="12"/>
  <c r="BO156" i="12"/>
  <c r="BO43" i="12"/>
  <c r="BM43" i="12"/>
  <c r="BO241" i="12"/>
  <c r="BM241" i="12"/>
  <c r="BO152" i="12"/>
  <c r="BM152" i="12"/>
  <c r="BO38" i="12"/>
  <c r="BM38" i="12"/>
  <c r="BM20" i="12"/>
  <c r="BO20" i="12"/>
  <c r="BM50" i="12"/>
  <c r="BO50" i="12"/>
  <c r="BO25" i="12"/>
  <c r="BM25" i="12"/>
  <c r="BO149" i="12"/>
  <c r="BM149" i="12"/>
  <c r="BO72" i="12"/>
  <c r="BM72" i="12"/>
  <c r="BO174" i="12"/>
  <c r="BM174" i="12"/>
  <c r="BM42" i="12"/>
  <c r="BO42" i="12"/>
  <c r="BO230" i="12"/>
  <c r="BM230" i="12"/>
  <c r="BO105" i="12"/>
  <c r="BM105" i="12"/>
  <c r="BO211" i="12"/>
  <c r="BM211" i="12"/>
  <c r="BO119" i="12"/>
  <c r="BM119" i="12"/>
  <c r="BM146" i="12"/>
  <c r="BO146" i="12"/>
  <c r="BM138" i="12"/>
  <c r="BO138" i="12"/>
  <c r="BM65" i="12"/>
  <c r="BO65" i="12"/>
  <c r="BO24" i="12"/>
  <c r="BM24" i="12"/>
  <c r="BM111" i="12"/>
  <c r="BO111" i="12"/>
  <c r="BM106" i="12"/>
  <c r="BO106" i="12"/>
  <c r="BO183" i="12"/>
  <c r="BM183" i="12"/>
  <c r="BO157" i="12"/>
  <c r="BM157" i="12"/>
  <c r="BO190" i="12"/>
  <c r="BM190" i="12"/>
  <c r="BM193" i="12"/>
  <c r="BO193" i="12"/>
  <c r="BO135" i="12"/>
  <c r="BM135" i="12"/>
  <c r="BO206" i="12"/>
  <c r="BM206" i="12"/>
  <c r="BM98" i="12"/>
  <c r="BO98" i="12"/>
  <c r="BM232" i="12"/>
  <c r="BO232" i="12"/>
  <c r="BO141" i="12"/>
  <c r="BM141" i="12"/>
  <c r="BO169" i="12"/>
  <c r="BM169" i="12"/>
  <c r="BM40" i="12"/>
  <c r="BO40" i="12"/>
  <c r="BO191" i="12"/>
  <c r="BM191" i="12"/>
  <c r="BO163" i="12"/>
  <c r="BM163" i="12"/>
  <c r="BM124" i="12"/>
  <c r="BO124" i="12"/>
  <c r="BO22" i="12"/>
  <c r="BM22" i="12"/>
  <c r="BM164" i="12"/>
  <c r="BO164" i="12"/>
  <c r="BM66" i="12"/>
  <c r="BO66" i="12"/>
  <c r="BM16" i="12"/>
  <c r="BO16" i="12"/>
  <c r="BO182" i="12"/>
  <c r="BM182" i="12"/>
  <c r="BO103" i="12"/>
  <c r="BM103" i="12"/>
  <c r="BO33" i="12"/>
  <c r="BM33" i="12"/>
  <c r="BM218" i="12"/>
  <c r="BO218" i="12"/>
  <c r="BO4" i="12"/>
  <c r="BM4" i="12"/>
  <c r="BO101" i="12"/>
  <c r="BM101" i="12"/>
  <c r="BM121" i="12"/>
  <c r="BO121" i="12"/>
  <c r="BM92" i="12"/>
  <c r="BO92" i="12"/>
  <c r="BO30" i="12"/>
  <c r="BM30" i="12"/>
  <c r="BO225" i="12"/>
  <c r="BM225" i="12"/>
  <c r="BM172" i="12"/>
  <c r="BO172" i="12"/>
  <c r="BO199" i="12"/>
  <c r="BM199" i="12"/>
  <c r="BM160" i="12"/>
  <c r="BO160" i="12"/>
  <c r="BO99" i="12"/>
  <c r="BM99" i="12"/>
  <c r="BO23" i="12"/>
  <c r="BM23" i="12"/>
  <c r="BM143" i="12"/>
  <c r="BO143" i="12"/>
  <c r="BM224" i="12"/>
  <c r="BO224" i="12"/>
  <c r="BO223" i="12"/>
  <c r="BM223" i="12"/>
  <c r="BO120" i="12"/>
  <c r="BM120" i="12"/>
  <c r="BO69" i="12"/>
  <c r="BM69" i="12"/>
  <c r="BM202" i="12"/>
  <c r="BO202" i="12"/>
  <c r="BO237" i="12"/>
  <c r="BM237" i="12"/>
  <c r="BO235" i="12"/>
  <c r="BM235" i="12"/>
  <c r="AV56" i="8"/>
  <c r="AV98" i="8"/>
  <c r="AU69" i="8"/>
  <c r="BY41" i="8"/>
  <c r="BY97" i="8"/>
  <c r="AV55" i="8"/>
  <c r="BZ70" i="8"/>
  <c r="BZ43" i="8"/>
  <c r="CD43" i="8" s="1"/>
  <c r="CF43" i="8" s="1"/>
  <c r="BY42" i="8"/>
  <c r="AV43" i="8"/>
  <c r="AZ43" i="8" s="1"/>
  <c r="BB43" i="8" s="1"/>
  <c r="BZ83" i="8"/>
  <c r="BZ98" i="8"/>
  <c r="BY98" i="8"/>
  <c r="AN76" i="8"/>
  <c r="BO62" i="8"/>
  <c r="BR76" i="8"/>
  <c r="BZ44" i="8"/>
  <c r="CD44" i="8" s="1"/>
  <c r="CF44" i="8" s="1"/>
  <c r="BZ28" i="8"/>
  <c r="BY28" i="8"/>
  <c r="BY69" i="8"/>
  <c r="BY84" i="8"/>
  <c r="AV99" i="8"/>
  <c r="AZ99" i="8" s="1"/>
  <c r="BB99" i="8" s="1"/>
  <c r="BZ56" i="8"/>
  <c r="AV42" i="8"/>
  <c r="AV69" i="8"/>
  <c r="AU84" i="8"/>
  <c r="AU28" i="8"/>
  <c r="BY83" i="8"/>
  <c r="AU83" i="8"/>
  <c r="BZ58" i="8"/>
  <c r="CD58" i="8" s="1"/>
  <c r="CF58" i="8" s="1"/>
  <c r="BZ84" i="8"/>
  <c r="BZ69" i="8"/>
  <c r="BZ57" i="8"/>
  <c r="CD57" i="8" s="1"/>
  <c r="CF57" i="8" s="1"/>
  <c r="BY70" i="8"/>
  <c r="AU97" i="8"/>
  <c r="AU27" i="8"/>
  <c r="AV57" i="8"/>
  <c r="AZ57" i="8" s="1"/>
  <c r="BB57" i="8" s="1"/>
  <c r="AU42" i="8"/>
  <c r="AU98" i="8"/>
  <c r="AU70" i="8"/>
  <c r="BZ27" i="8"/>
  <c r="AV29" i="8"/>
  <c r="AZ29" i="8" s="1"/>
  <c r="BB29" i="8" s="1"/>
  <c r="AV97" i="8"/>
  <c r="BZ42" i="8"/>
  <c r="AV28" i="8"/>
  <c r="BY56" i="8"/>
  <c r="AV27" i="8"/>
  <c r="AV70" i="8"/>
  <c r="AV83" i="8"/>
  <c r="AU56" i="8"/>
  <c r="BZ41" i="8"/>
  <c r="BY55" i="8"/>
  <c r="BZ29" i="8"/>
  <c r="CD29" i="8" s="1"/>
  <c r="CF29" i="8" s="1"/>
  <c r="AV84" i="8"/>
  <c r="BZ85" i="8"/>
  <c r="CD85" i="8" s="1"/>
  <c r="CF85" i="8" s="1"/>
  <c r="AV41" i="8"/>
  <c r="BZ55" i="8"/>
  <c r="BZ97" i="8"/>
  <c r="BY27" i="8"/>
  <c r="AQ104" i="8"/>
  <c r="AK34" i="8"/>
  <c r="AE62" i="8"/>
  <c r="AU55" i="8"/>
  <c r="AE48" i="8"/>
  <c r="AU41" i="8"/>
  <c r="AK90" i="8"/>
  <c r="AH76" i="8"/>
  <c r="BX90" i="8"/>
  <c r="AT34" i="8"/>
  <c r="BO76" i="8"/>
  <c r="AQ62" i="8"/>
  <c r="BL90" i="8"/>
  <c r="BR48" i="8"/>
  <c r="BR34" i="8"/>
  <c r="BL48" i="8"/>
  <c r="AT48" i="8"/>
  <c r="AE76" i="8"/>
  <c r="AT104" i="8"/>
  <c r="BO34" i="8"/>
  <c r="AQ34" i="8"/>
  <c r="BI76" i="8"/>
  <c r="AE34" i="8"/>
  <c r="BR62" i="8"/>
  <c r="BU34" i="8"/>
  <c r="BU90" i="8"/>
  <c r="AE90" i="8"/>
  <c r="BL76" i="8"/>
  <c r="AK48" i="8"/>
  <c r="AE104" i="8"/>
  <c r="AT90" i="8"/>
  <c r="BI48" i="8"/>
  <c r="AN34" i="8"/>
  <c r="BI104" i="8"/>
  <c r="AH62" i="8"/>
  <c r="AQ90" i="8"/>
  <c r="AN104" i="8"/>
  <c r="AN48" i="8"/>
  <c r="BX48" i="8"/>
  <c r="BX34" i="8"/>
  <c r="BL34" i="8"/>
  <c r="BU76" i="8"/>
  <c r="AQ48" i="8"/>
  <c r="BR90" i="8"/>
  <c r="AH34" i="8"/>
  <c r="AN62" i="8"/>
  <c r="AT62" i="8"/>
  <c r="AN90" i="8"/>
  <c r="AH90" i="8"/>
  <c r="BO48" i="8"/>
  <c r="BI90" i="8"/>
  <c r="BO104" i="8"/>
  <c r="BO90" i="8"/>
  <c r="BI62" i="8"/>
  <c r="BX62" i="8"/>
  <c r="BX104" i="8"/>
  <c r="BU48" i="8"/>
  <c r="AK76" i="8"/>
  <c r="BR104" i="8"/>
  <c r="BU104" i="8"/>
  <c r="AH104" i="8"/>
  <c r="BX76" i="8"/>
  <c r="AT76" i="8"/>
  <c r="AK62" i="8"/>
  <c r="AK104" i="8"/>
  <c r="AH48" i="8"/>
  <c r="BL62" i="8"/>
  <c r="BU62" i="8"/>
  <c r="BL104" i="8"/>
  <c r="BI34" i="8"/>
  <c r="AQ76" i="8"/>
  <c r="R48" i="8"/>
  <c r="I4" i="8" s="1"/>
  <c r="V40" i="8"/>
  <c r="R90" i="8"/>
  <c r="I7" i="8" s="1"/>
  <c r="V82" i="8"/>
  <c r="R76" i="8"/>
  <c r="I6" i="8" s="1"/>
  <c r="V68" i="8"/>
  <c r="R62" i="8"/>
  <c r="I5" i="8" s="1"/>
  <c r="V54" i="8"/>
  <c r="R104" i="8"/>
  <c r="I8" i="8" s="1"/>
  <c r="V96" i="8"/>
  <c r="R34" i="8"/>
  <c r="I3" i="8" s="1"/>
  <c r="V26" i="8"/>
  <c r="AZ69" i="8" l="1"/>
  <c r="BB69" i="8" s="1"/>
  <c r="N24" i="16"/>
  <c r="O24" i="16" s="1"/>
  <c r="D23" i="9" s="1"/>
  <c r="AZ56" i="8"/>
  <c r="BB56" i="8" s="1"/>
  <c r="AU76" i="8"/>
  <c r="R6" i="8" s="1"/>
  <c r="BY48" i="8"/>
  <c r="Z4" i="8" s="1"/>
  <c r="CD98" i="8"/>
  <c r="CF98" i="8" s="1"/>
  <c r="CD42" i="8"/>
  <c r="CF42" i="8" s="1"/>
  <c r="BZ76" i="8"/>
  <c r="Y6" i="8" s="1"/>
  <c r="AV48" i="8"/>
  <c r="Q4" i="8" s="1"/>
  <c r="BY104" i="8"/>
  <c r="Z8" i="8" s="1"/>
  <c r="BZ104" i="8"/>
  <c r="Y8" i="8" s="1"/>
  <c r="AU90" i="8"/>
  <c r="R7" i="8" s="1"/>
  <c r="AZ84" i="8"/>
  <c r="BB84" i="8" s="1"/>
  <c r="AZ42" i="8"/>
  <c r="BB42" i="8" s="1"/>
  <c r="CD84" i="8"/>
  <c r="CF84" i="8" s="1"/>
  <c r="CD56" i="8"/>
  <c r="CF56" i="8" s="1"/>
  <c r="AU34" i="8"/>
  <c r="R3" i="8" s="1"/>
  <c r="BY90" i="8"/>
  <c r="Z7" i="8" s="1"/>
  <c r="CD69" i="8"/>
  <c r="CF69" i="8" s="1"/>
  <c r="CD83" i="8"/>
  <c r="CF83" i="8" s="1"/>
  <c r="AU104" i="8"/>
  <c r="R8" i="8" s="1"/>
  <c r="AZ28" i="8"/>
  <c r="BB28" i="8" s="1"/>
  <c r="BY34" i="8"/>
  <c r="Z3" i="8" s="1"/>
  <c r="BY76" i="8"/>
  <c r="Z6" i="8" s="1"/>
  <c r="CD28" i="8"/>
  <c r="CF28" i="8" s="1"/>
  <c r="CD70" i="8"/>
  <c r="CF70" i="8" s="1"/>
  <c r="BZ48" i="8"/>
  <c r="Y4" i="8" s="1"/>
  <c r="AV104" i="8"/>
  <c r="Q8" i="8" s="1"/>
  <c r="BZ62" i="8"/>
  <c r="Y5" i="8" s="1"/>
  <c r="AZ83" i="8"/>
  <c r="BB83" i="8" s="1"/>
  <c r="BY62" i="8"/>
  <c r="Z5" i="8" s="1"/>
  <c r="AZ70" i="8"/>
  <c r="BB70" i="8" s="1"/>
  <c r="AZ98" i="8"/>
  <c r="BB98" i="8" s="1"/>
  <c r="AZ97" i="8"/>
  <c r="BB97" i="8" s="1"/>
  <c r="AV34" i="8"/>
  <c r="Q3" i="8" s="1"/>
  <c r="CD97" i="8"/>
  <c r="CF97" i="8" s="1"/>
  <c r="AV62" i="8"/>
  <c r="Q5" i="8" s="1"/>
  <c r="AZ27" i="8"/>
  <c r="BB27" i="8" s="1"/>
  <c r="AV76" i="8"/>
  <c r="Q6" i="8" s="1"/>
  <c r="CD41" i="8"/>
  <c r="CF41" i="8" s="1"/>
  <c r="CD27" i="8"/>
  <c r="BZ34" i="8"/>
  <c r="Y3" i="8" s="1"/>
  <c r="BZ90" i="8"/>
  <c r="Y7" i="8" s="1"/>
  <c r="CD55" i="8"/>
  <c r="CF55" i="8" s="1"/>
  <c r="AV90" i="8"/>
  <c r="Q7" i="8" s="1"/>
  <c r="AU62" i="8"/>
  <c r="R5" i="8" s="1"/>
  <c r="AZ55" i="8"/>
  <c r="AU48" i="8"/>
  <c r="R4" i="8" s="1"/>
  <c r="AZ41" i="8"/>
  <c r="M3" i="8"/>
  <c r="O3" i="8"/>
  <c r="O4" i="8"/>
  <c r="M4" i="8"/>
  <c r="X82" i="8"/>
  <c r="N7" i="8" s="1"/>
  <c r="P7" i="8" s="1"/>
  <c r="V90" i="8"/>
  <c r="X26" i="8"/>
  <c r="N3" i="8" s="1"/>
  <c r="P3" i="8" s="1"/>
  <c r="V34" i="8"/>
  <c r="X96" i="8"/>
  <c r="N8" i="8" s="1"/>
  <c r="P8" i="8" s="1"/>
  <c r="V104" i="8"/>
  <c r="V48" i="8"/>
  <c r="X40" i="8"/>
  <c r="N4" i="8" s="1"/>
  <c r="P4" i="8" s="1"/>
  <c r="O8" i="8"/>
  <c r="M8" i="8"/>
  <c r="X54" i="8"/>
  <c r="N5" i="8" s="1"/>
  <c r="P5" i="8" s="1"/>
  <c r="V62" i="8"/>
  <c r="X68" i="8"/>
  <c r="N6" i="8" s="1"/>
  <c r="P6" i="8" s="1"/>
  <c r="V76" i="8"/>
  <c r="O5" i="8"/>
  <c r="M5" i="8"/>
  <c r="O6" i="8"/>
  <c r="M6" i="8"/>
  <c r="M7" i="8"/>
  <c r="O7" i="8"/>
  <c r="AE6" i="8" l="1"/>
  <c r="W6" i="8"/>
  <c r="AE4" i="8"/>
  <c r="V3" i="8"/>
  <c r="X3" i="8" s="1"/>
  <c r="AD8" i="8"/>
  <c r="AF8" i="8" s="1"/>
  <c r="AE8" i="8"/>
  <c r="AD4" i="8"/>
  <c r="AF4" i="8" s="1"/>
  <c r="W4" i="8"/>
  <c r="CD34" i="8"/>
  <c r="AC3" i="8" s="1"/>
  <c r="W7" i="8"/>
  <c r="V7" i="8"/>
  <c r="X7" i="8" s="1"/>
  <c r="AD7" i="8"/>
  <c r="AF7" i="8" s="1"/>
  <c r="CD90" i="8"/>
  <c r="AC7" i="8" s="1"/>
  <c r="AE7" i="8"/>
  <c r="AD6" i="8"/>
  <c r="AF6" i="8" s="1"/>
  <c r="AD5" i="8"/>
  <c r="AF5" i="8" s="1"/>
  <c r="W3" i="8"/>
  <c r="AE5" i="8"/>
  <c r="AE3" i="8"/>
  <c r="W8" i="8"/>
  <c r="V6" i="8"/>
  <c r="X6" i="8" s="1"/>
  <c r="CD76" i="8"/>
  <c r="AC6" i="8" s="1"/>
  <c r="AZ76" i="8"/>
  <c r="U6" i="8" s="1"/>
  <c r="AZ90" i="8"/>
  <c r="U7" i="8" s="1"/>
  <c r="AZ104" i="8"/>
  <c r="U8" i="8" s="1"/>
  <c r="V8" i="8"/>
  <c r="X8" i="8" s="1"/>
  <c r="CD104" i="8"/>
  <c r="AC8" i="8" s="1"/>
  <c r="W5" i="8"/>
  <c r="AZ34" i="8"/>
  <c r="U3" i="8" s="1"/>
  <c r="CF27" i="8"/>
  <c r="AD3" i="8" s="1"/>
  <c r="AF3" i="8" s="1"/>
  <c r="CD48" i="8"/>
  <c r="AC4" i="8" s="1"/>
  <c r="CD62" i="8"/>
  <c r="AC5" i="8" s="1"/>
  <c r="BB55" i="8"/>
  <c r="V5" i="8" s="1"/>
  <c r="X5" i="8" s="1"/>
  <c r="AZ62" i="8"/>
  <c r="U5" i="8" s="1"/>
  <c r="BB41" i="8"/>
  <c r="V4" i="8" s="1"/>
  <c r="X4" i="8" s="1"/>
  <c r="AZ48" i="8"/>
  <c r="U4" i="8" s="1"/>
  <c r="C6" i="8" l="1"/>
  <c r="D3" i="8"/>
  <c r="D8" i="8"/>
  <c r="C4" i="8"/>
  <c r="D4" i="8"/>
  <c r="C8" i="8"/>
  <c r="C7" i="8"/>
  <c r="B7" i="8"/>
  <c r="B6" i="8"/>
  <c r="D5" i="8"/>
  <c r="C3" i="8"/>
  <c r="B3" i="8"/>
  <c r="D7" i="8"/>
  <c r="D6" i="8"/>
  <c r="C5" i="8"/>
  <c r="B8" i="8"/>
  <c r="B5" i="8"/>
  <c r="B4" i="8"/>
  <c r="D45" i="9" l="1"/>
  <c r="G45" i="9"/>
  <c r="B45" i="9"/>
  <c r="D31" i="9"/>
  <c r="B31" i="9"/>
  <c r="G31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</authors>
  <commentList>
    <comment ref="Q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Doesn't really have an impact since the search are done on the rounded values that control how the entered value </t>
        </r>
      </text>
    </comment>
    <comment ref="B4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Columns used in PRODUCTION tab to make formulas easier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  <author>Anton.Ostberg</author>
    <author>Alexander.Kjellin</author>
    <author>Danaher Associate</author>
    <author>Liselott.Ekstrom</author>
    <author>tc={E8AC1CFD-D035-46EF-94B8-C92338423546}</author>
    <author>Ekstrom, Liselott</author>
    <author>Petra.Nilsson</author>
    <author>Johan.Quick</author>
    <author>Marina.Kristensson</author>
    <author>tc={D067A59A-2590-48C0-B113-A9705B8BAB3C}</author>
  </authors>
  <commentList>
    <comment ref="B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Bolt circle diameter</t>
        </r>
      </text>
    </comment>
    <comment ref="C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diameter</t>
        </r>
      </text>
    </comment>
    <comment ref="D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length</t>
        </r>
      </text>
    </comment>
    <comment ref="E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diameter</t>
        </r>
      </text>
    </comment>
    <comment ref="F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length</t>
        </r>
      </text>
    </comment>
    <comment ref="H3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Round motor diameter</t>
        </r>
      </text>
    </comment>
    <comment ref="I3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Flange length</t>
        </r>
      </text>
    </comment>
    <comment ref="J3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Screw size that fits with the thru hole</t>
        </r>
      </text>
    </comment>
    <comment ref="K3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Size of thread if motor has no thru hole.</t>
        </r>
      </text>
    </comment>
    <comment ref="L3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Length of thread (depth) if no thru hole on motor.</t>
        </r>
      </text>
    </comment>
    <comment ref="A4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AKM3 XX-AX</t>
        </r>
      </text>
    </comment>
    <comment ref="A5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Allen Bradly MPL-B330</t>
        </r>
      </text>
    </comment>
    <comment ref="A7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AKM2 XX-AX</t>
        </r>
      </text>
    </comment>
    <comment ref="B8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140404 was 66,68 changed to 66,7</t>
        </r>
      </text>
    </comment>
    <comment ref="A60" authorId="1" shapeId="0" xr:uid="{00000000-0006-0000-0200-00000F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MPL-A/B1510</t>
        </r>
      </text>
    </comment>
    <comment ref="A76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Siemens 1FK7032-2A21-1QA0</t>
        </r>
      </text>
    </comment>
    <comment ref="A9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Teknic, NEMA23, 3/8” shaft diameter
 https://www.teknic.com/files/downloads/23xx%20CPM%20Dimensional%20Drawing.pdf</t>
        </r>
      </text>
    </comment>
    <comment ref="A95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AKM4 XX-GX</t>
        </r>
      </text>
    </comment>
    <comment ref="A96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AKM1 XX-AX</t>
        </r>
      </text>
    </comment>
    <comment ref="A100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Teknic NEMA23 "3/8 inch shaft diameter </t>
        </r>
      </text>
    </comment>
    <comment ref="A103" authorId="3" shapeId="0" xr:uid="{00000000-0006-0000-0200-000015000000}">
      <text>
        <r>
          <rPr>
            <b/>
            <sz val="9"/>
            <color indexed="81"/>
            <rFont val="Tahoma"/>
            <family val="2"/>
          </rPr>
          <t>Danaher Associate:</t>
        </r>
        <r>
          <rPr>
            <sz val="9"/>
            <color indexed="81"/>
            <rFont val="Tahoma"/>
            <family val="2"/>
          </rPr>
          <t xml:space="preserve">
Pc32LX special motor worm gear </t>
        </r>
      </text>
    </comment>
    <comment ref="A106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IEC63 B14</t>
        </r>
      </text>
    </comment>
    <comment ref="A112" authorId="4" shapeId="0" xr:uid="{00000000-0006-0000-0200-000017000000}">
      <text>
        <r>
          <rPr>
            <b/>
            <sz val="9"/>
            <color indexed="81"/>
            <rFont val="Tahoma"/>
            <family val="2"/>
          </rPr>
          <t>Liselott.Ekstrom:</t>
        </r>
        <r>
          <rPr>
            <sz val="9"/>
            <color indexed="81"/>
            <rFont val="Tahoma"/>
            <family val="2"/>
          </rPr>
          <t xml:space="preserve">
APEX PEII &amp; XTA070</t>
        </r>
      </text>
    </comment>
    <comment ref="A124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Parker SMH60.60.0,55.11.2I.65.2</t>
        </r>
      </text>
    </comment>
    <comment ref="A125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Ej standard BCD angle
Beta1=0, Beta2=90</t>
        </r>
      </text>
    </comment>
    <comment ref="AY130" authorId="5" shapeId="0" xr:uid="{E8AC1CFD-D035-46EF-94B8-C92338423546}">
      <text>
        <t>[Threaded comment]
Your version of Excel allows you to read this threaded comment; however, any edits to it will get removed if the file is opened in a newer version of Excel. Learn more: https://go.microsoft.com/fwlink/?linkid=870924
Comment:
    Speciel lösning - dubbla plattor i stället för en tjockare enkla platta. Förmodligen kundens önskemål.</t>
      </text>
    </comment>
    <comment ref="A131" authorId="2" shapeId="0" xr:uid="{00000000-0006-0000-0200-00001A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 APPLIED MOTION PRODUCTS STEP MOTOR dwg no. ht34-497</t>
        </r>
      </text>
    </comment>
    <comment ref="A132" authorId="2" shapeId="0" xr:uid="{00000000-0006-0000-0200-00001B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NemaTrue 23 [English-Deminsion]</t>
        </r>
      </text>
    </comment>
    <comment ref="A133" authorId="2" shapeId="0" xr:uid="{00000000-0006-0000-0200-00001C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SEW SERVOMOTOR CMP50M</t>
        </r>
      </text>
    </comment>
    <comment ref="A134" authorId="2" shapeId="0" xr:uid="{00000000-0006-0000-0200-00001D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Servomotor BMH0701P16A1A
</t>
        </r>
      </text>
    </comment>
    <comment ref="A135" authorId="2" shapeId="0" xr:uid="{00000000-0006-0000-0200-00001E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Lägg till motor, motor borttaget </t>
        </r>
      </text>
    </comment>
    <comment ref="A136" authorId="2" shapeId="0" xr:uid="{00000000-0006-0000-0200-00001F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Teknic NEMA23 "1/4 inch Full round shaft diameter</t>
        </r>
      </text>
    </comment>
    <comment ref="A137" authorId="2" shapeId="0" xr:uid="{00000000-0006-0000-0200-000020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Teknic NEMA34 ½” shaft diameter </t>
        </r>
      </text>
    </comment>
    <comment ref="A139" authorId="2" shapeId="0" xr:uid="{00000000-0006-0000-0200-000021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Dreckshage CMP40M/BK/KY/RH2M/SB1</t>
        </r>
      </text>
    </comment>
    <comment ref="A140" authorId="2" shapeId="0" xr:uid="{00000000-0006-0000-0200-000022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PLG 52 dunker
[PC40 special platta som är tjockare p.g.a att piloten krockar med skruvskallen  ]</t>
        </r>
      </text>
    </comment>
    <comment ref="A141" authorId="2" shapeId="0" xr:uid="{00000000-0006-0000-0200-000023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Gear SG80 Dunker, 
Kolla ritning(square side), passar ev. PC32 också</t>
        </r>
      </text>
    </comment>
    <comment ref="A142" authorId="2" shapeId="0" xr:uid="{00000000-0006-0000-0200-000024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Apex gear PA2-060-1 
Ritning behöver ändras om leverantören skall bearbeta BCD,PD på plattan till PC40Lx </t>
        </r>
      </text>
    </comment>
    <comment ref="A143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NemaTRUE planetary gearhead Size 17</t>
        </r>
      </text>
    </comment>
    <comment ref="A144" authorId="2" shapeId="0" xr:uid="{00000000-0006-0000-0200-000026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NemaTRUE size 60 gearbox
gäller även DT60
</t>
        </r>
      </text>
    </comment>
    <comment ref="A145" authorId="2" shapeId="0" xr:uid="{00000000-0006-0000-0200-000027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XTRUE gearhead XT060</t>
        </r>
      </text>
    </comment>
    <comment ref="A146" authorId="2" shapeId="0" xr:uid="{00000000-0006-0000-0200-000028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QSG5718-51-28 TRINAMIC Motion control</t>
        </r>
      </text>
    </comment>
    <comment ref="A147" authorId="2" shapeId="0" xr:uid="{00000000-0006-0000-0200-000029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Dunker 63x55</t>
        </r>
      </text>
    </comment>
    <comment ref="A148" authorId="2" shapeId="0" xr:uid="{00000000-0006-0000-0200-00002A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HG-HR23(B), HB-MR23(B)</t>
        </r>
      </text>
    </comment>
    <comment ref="A149" authorId="2" shapeId="0" xr:uid="{00000000-0006-0000-0200-00002B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Apphira gearbox 060 </t>
        </r>
      </text>
    </comment>
    <comment ref="A150" authorId="6" shapeId="0" xr:uid="{00000000-0006-0000-0200-00002C000000}">
      <text>
        <r>
          <rPr>
            <b/>
            <sz val="9"/>
            <color indexed="81"/>
            <rFont val="Tahoma"/>
            <family val="2"/>
          </rPr>
          <t>Ekstrom, Liselott:</t>
        </r>
        <r>
          <rPr>
            <sz val="9"/>
            <color indexed="81"/>
            <rFont val="Tahoma"/>
            <family val="2"/>
          </rPr>
          <t xml:space="preserve">
Control Techniques
NTE-212-CBNS-0000
</t>
        </r>
      </text>
    </comment>
    <comment ref="A151" authorId="6" shapeId="0" xr:uid="{00000000-0006-0000-0200-00002D000000}">
      <text>
        <r>
          <rPr>
            <b/>
            <sz val="9"/>
            <color indexed="81"/>
            <rFont val="Tahoma"/>
            <family val="2"/>
          </rPr>
          <t>Ekstrom, Liselott:</t>
        </r>
        <r>
          <rPr>
            <sz val="9"/>
            <color indexed="81"/>
            <rFont val="Tahoma"/>
            <family val="2"/>
          </rPr>
          <t xml:space="preserve">
Applied Motion Products
J0400-351-4-000
</t>
        </r>
      </text>
    </comment>
    <comment ref="A152" authorId="2" shapeId="0" xr:uid="{00000000-0006-0000-0200-00002E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Schneider Stepper LMDCM541C Nema 23
(passar alla PA versioner)</t>
        </r>
      </text>
    </comment>
    <comment ref="A156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[Gear SEW eurodrive PSC222]
special fläns D607588.
Se RT123589 TILL PC 32PA HÅLDIAMETERN PÅ MOTORN PASSAR EJ 
</t>
        </r>
      </text>
    </comment>
    <comment ref="A158" authorId="6" shapeId="0" xr:uid="{00000000-0006-0000-0200-000030000000}">
      <text>
        <r>
          <rPr>
            <b/>
            <sz val="9"/>
            <color indexed="81"/>
            <rFont val="Tahoma"/>
            <family val="2"/>
          </rPr>
          <t>Ekstrom, Liselott:</t>
        </r>
        <r>
          <rPr>
            <sz val="9"/>
            <color indexed="81"/>
            <rFont val="Tahoma"/>
            <family val="2"/>
          </rPr>
          <t xml:space="preserve">
Lexium Mdrive
LMD-42 Nema17 motor
OBS! Huset bredare (52,27) än flänsens fyrkant (42,21).</t>
        </r>
      </text>
    </comment>
    <comment ref="A159" authorId="6" shapeId="0" xr:uid="{00000000-0006-0000-0200-000031000000}">
      <text>
        <r>
          <rPr>
            <b/>
            <sz val="9"/>
            <color indexed="81"/>
            <rFont val="Tahoma"/>
            <family val="2"/>
          </rPr>
          <t>Ekstrom, Liselott:</t>
        </r>
        <r>
          <rPr>
            <sz val="9"/>
            <color indexed="81"/>
            <rFont val="Tahoma"/>
            <family val="2"/>
          </rPr>
          <t xml:space="preserve">
Moons Integrated step servo motor SSM24
</t>
        </r>
      </text>
    </comment>
    <comment ref="A160" authorId="2" shapeId="0" xr:uid="{00000000-0006-0000-0200-000032000000}">
      <text>
        <r>
          <rPr>
            <b/>
            <sz val="9"/>
            <color indexed="81"/>
            <rFont val="Tahoma"/>
            <family val="2"/>
          </rPr>
          <t>Alexander.Kjellin:</t>
        </r>
        <r>
          <rPr>
            <sz val="9"/>
            <color indexed="81"/>
            <rFont val="Tahoma"/>
            <family val="2"/>
          </rPr>
          <t xml:space="preserve">
PD60-1160 stepper motor</t>
        </r>
      </text>
    </comment>
    <comment ref="A161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Pc32LX special motor worm gear (0266 AR)</t>
        </r>
      </text>
    </comment>
    <comment ref="N161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självgängande skruv</t>
        </r>
      </text>
    </comment>
    <comment ref="A162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39BYGH 405B</t>
        </r>
      </text>
    </comment>
    <comment ref="A163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MEGMOTOR
PART NO.720288011
</t>
        </r>
      </text>
    </comment>
    <comment ref="A164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SEW MOTOR:
CMP63M/BK/KY/RH1M/SV1
</t>
        </r>
      </text>
    </comment>
    <comment ref="A165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PLE60/70</t>
        </r>
      </text>
    </comment>
    <comment ref="A166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Bosch EFP 
Part No. 0 986 337 410</t>
        </r>
      </text>
    </comment>
    <comment ref="A167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STM23X-3AX</t>
        </r>
      </text>
    </comment>
    <comment ref="A168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Schneider-electric
LMDCM851</t>
        </r>
      </text>
    </comment>
    <comment ref="A170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AHS Antriebstechnik
Step motor series
HL3x-nema34</t>
        </r>
      </text>
    </comment>
    <comment ref="A171" authorId="1" shapeId="0" xr:uid="{00000000-0006-0000-0200-00003D000000}">
      <text>
        <r>
          <rPr>
            <sz val="9"/>
            <color indexed="81"/>
            <rFont val="Tahoma"/>
            <family val="2"/>
          </rPr>
          <t xml:space="preserve">MK:
Fungerar om Plmax=3
</t>
        </r>
      </text>
    </comment>
    <comment ref="A172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Moons TSM24Q-3AG</t>
        </r>
      </text>
    </comment>
    <comment ref="A174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NEMA34</t>
        </r>
      </text>
    </comment>
    <comment ref="A175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SDM281</t>
        </r>
      </text>
    </comment>
    <comment ref="A176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PARKER S57-83 (NEMA 23)</t>
        </r>
      </text>
    </comment>
    <comment ref="A177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AR98MKD-3</t>
        </r>
      </text>
    </comment>
    <comment ref="A178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ISD 1261 MOTOR</t>
        </r>
      </text>
    </comment>
    <comment ref="A179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VPL-B0633M-PJ14AA</t>
        </r>
      </text>
    </comment>
    <comment ref="A180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AM811x</t>
        </r>
      </text>
    </comment>
    <comment ref="A185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DCPM 42 T35</t>
        </r>
      </text>
    </comment>
    <comment ref="A187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Schneider NEMA23 quadstack</t>
        </r>
      </text>
    </comment>
    <comment ref="A191" authorId="7" shapeId="0" xr:uid="{00000000-0006-0000-0200-000048000000}">
      <text>
        <r>
          <rPr>
            <b/>
            <sz val="9"/>
            <color indexed="81"/>
            <rFont val="Tahoma"/>
            <family val="2"/>
          </rPr>
          <t xml:space="preserve">Liselott.Ekström:
AC Servo motor
MAC50, 95, 140 and 141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4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Anton.Ostberg:</t>
        </r>
        <r>
          <rPr>
            <sz val="9"/>
            <color indexed="81"/>
            <rFont val="Tahoma"/>
            <family val="2"/>
          </rPr>
          <t xml:space="preserve">
Quick&amp;dirty Lösning!
Ska ej vara sökbar
Skruvskallar sticker utanför platta 
Måste godkänas innan registrering 
</t>
        </r>
      </text>
    </comment>
    <comment ref="A219" authorId="4" shapeId="0" xr:uid="{BF6B795F-903A-42AC-ADE5-EE1AA8C95CA3}">
      <text>
        <r>
          <rPr>
            <b/>
            <sz val="9"/>
            <color indexed="81"/>
            <rFont val="Tahoma"/>
            <family val="2"/>
          </rPr>
          <t>Liselott.Ekstrom:</t>
        </r>
        <r>
          <rPr>
            <sz val="9"/>
            <color indexed="81"/>
            <rFont val="Tahoma"/>
            <family val="2"/>
          </rPr>
          <t xml:space="preserve">
Platta D med stor fas enl kundens önskemål
</t>
        </r>
      </text>
    </comment>
    <comment ref="I248" authorId="8" shapeId="0" xr:uid="{A62CB09F-15F3-421B-8C70-7B0FD37594D4}">
      <text>
        <r>
          <rPr>
            <sz val="9"/>
            <color indexed="81"/>
            <rFont val="Tahoma"/>
            <family val="2"/>
          </rPr>
          <t xml:space="preserve">252 funkar även för 
FL 5,15
</t>
        </r>
      </text>
    </comment>
    <comment ref="AS272" authorId="9" shapeId="0" xr:uid="{F0F0323B-6D0B-4284-9324-81C9C106D564}">
      <text>
        <r>
          <rPr>
            <b/>
            <sz val="9"/>
            <color indexed="81"/>
            <rFont val="Tahoma"/>
            <family val="2"/>
          </rPr>
          <t>Marina.Kristensson:</t>
        </r>
        <r>
          <rPr>
            <sz val="9"/>
            <color indexed="81"/>
            <rFont val="Tahoma"/>
            <family val="2"/>
          </rPr>
          <t xml:space="preserve">
Customer needs smaller plate. It works also with standard C2.</t>
        </r>
      </text>
    </comment>
    <comment ref="AY272" authorId="9" shapeId="0" xr:uid="{8690DF5E-CD12-4BD3-831C-90737B9BADBE}">
      <text>
        <r>
          <rPr>
            <b/>
            <sz val="9"/>
            <color indexed="81"/>
            <rFont val="Tahoma"/>
            <family val="2"/>
          </rPr>
          <t>Marina.Kristensson:</t>
        </r>
        <r>
          <rPr>
            <sz val="9"/>
            <color indexed="81"/>
            <rFont val="Tahoma"/>
            <family val="2"/>
          </rPr>
          <t xml:space="preserve">
Customer needs smaller plate. It works also with standard C2.
</t>
        </r>
      </text>
    </comment>
    <comment ref="A298" authorId="10" shapeId="0" xr:uid="{D067A59A-2590-48C0-B113-A9705B8BAB3C}">
      <text>
        <t>[Threaded comment]
Your version of Excel allows you to read this threaded comment; however, any edits to it will get removed if the file is opened in a newer version of Excel. Learn more: https://go.microsoft.com/fwlink/?linkid=870924
Comment:
    PLmax=3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</authors>
  <commentList>
    <comment ref="B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Bolt circle diameter</t>
        </r>
      </text>
    </comment>
    <comment ref="B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diameter</t>
        </r>
      </text>
    </comment>
    <comment ref="B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length</t>
        </r>
      </text>
    </comment>
    <comment ref="B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diameter</t>
        </r>
      </text>
    </comment>
    <comment ref="B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length</t>
        </r>
      </text>
    </comment>
    <comment ref="B8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Round motor diameter</t>
        </r>
      </text>
    </comment>
    <comment ref="B9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Flange length</t>
        </r>
      </text>
    </comment>
    <comment ref="D10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Screw size that fits with the thru hole</t>
        </r>
      </text>
    </comment>
    <comment ref="A11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No thru holes</t>
        </r>
      </text>
    </comment>
    <comment ref="B11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Size of thread if motor has no thru hole.</t>
        </r>
      </text>
    </comment>
    <comment ref="D11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Clearance hole that fit with the thread.
</t>
        </r>
      </text>
    </comment>
    <comment ref="B1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Length of thread (depth) if no thru hole on motor.</t>
        </r>
      </text>
    </comment>
    <comment ref="A16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Bolt circle diameter</t>
        </r>
      </text>
    </comment>
    <comment ref="B16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diameter</t>
        </r>
      </text>
    </comment>
    <comment ref="C16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length</t>
        </r>
      </text>
    </comment>
    <comment ref="D16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diameter</t>
        </r>
      </text>
    </comment>
    <comment ref="E16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length</t>
        </r>
      </text>
    </comment>
    <comment ref="G16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Round motor diameter</t>
        </r>
      </text>
    </comment>
    <comment ref="H16" authorId="0" shapeId="0" xr:uid="{00000000-0006-0000-0300-00001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Flange length</t>
        </r>
      </text>
    </comment>
    <comment ref="I16" authorId="0" shapeId="0" xr:uid="{00000000-0006-0000-0300-00001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Screw size that fits with the thru hole</t>
        </r>
      </text>
    </comment>
    <comment ref="J16" authorId="0" shapeId="0" xr:uid="{00000000-0006-0000-0300-00001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Size of thread if motor has no thru hole.</t>
        </r>
      </text>
    </comment>
    <comment ref="K16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Length of thread (depth) if no thru hole on motor.</t>
        </r>
      </text>
    </comment>
    <comment ref="A21" authorId="0" shapeId="0" xr:uid="{00000000-0006-0000-0300-00001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Bolt circle diameter</t>
        </r>
      </text>
    </comment>
    <comment ref="B21" authorId="0" shapeId="0" xr:uid="{00000000-0006-0000-0300-00001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diameter</t>
        </r>
      </text>
    </comment>
    <comment ref="C21" authorId="0" shapeId="0" xr:uid="{00000000-0006-0000-0300-00001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length</t>
        </r>
      </text>
    </comment>
    <comment ref="D21" authorId="0" shapeId="0" xr:uid="{00000000-0006-0000-0300-00001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diameter</t>
        </r>
      </text>
    </comment>
    <comment ref="E21" authorId="0" shapeId="0" xr:uid="{00000000-0006-0000-0300-00001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length</t>
        </r>
      </text>
    </comment>
    <comment ref="G21" authorId="0" shapeId="0" xr:uid="{00000000-0006-0000-0300-00001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Round motor diameter</t>
        </r>
      </text>
    </comment>
    <comment ref="H21" authorId="0" shapeId="0" xr:uid="{00000000-0006-0000-0300-00001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Flange length</t>
        </r>
      </text>
    </comment>
    <comment ref="I21" authorId="0" shapeId="0" xr:uid="{00000000-0006-0000-0300-00001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Screw size that fits with the thru hole</t>
        </r>
      </text>
    </comment>
    <comment ref="J21" authorId="0" shapeId="0" xr:uid="{00000000-0006-0000-0300-00001F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Size of thread if motor has no thru hole.</t>
        </r>
      </text>
    </comment>
    <comment ref="K21" authorId="0" shapeId="0" xr:uid="{00000000-0006-0000-0300-000020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Length of thread (depth) if no thru hole on motor.</t>
        </r>
      </text>
    </comment>
    <comment ref="S39" authorId="0" shapeId="0" xr:uid="{00000000-0006-0000-0300-00002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What to set the dropdown box to in UI.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</authors>
  <commentList>
    <comment ref="D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Bolt circle diameter</t>
        </r>
      </text>
    </comment>
    <comment ref="E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diameter</t>
        </r>
      </text>
    </comment>
    <comment ref="F1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Pilot length</t>
        </r>
      </text>
    </comment>
    <comment ref="G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diameter</t>
        </r>
      </text>
    </comment>
    <comment ref="H1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Shaft length</t>
        </r>
      </text>
    </comment>
    <comment ref="J1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Round motor diameter</t>
        </r>
      </text>
    </comment>
    <comment ref="K1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Flange length</t>
        </r>
      </text>
    </comment>
    <comment ref="L1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Diameter of thru hole
</t>
        </r>
      </text>
    </comment>
    <comment ref="M1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Size of thread if motor has no thru hole.</t>
        </r>
      </text>
    </comment>
    <comment ref="N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Length of thread (depth) if no thru hole on motor.</t>
        </r>
      </text>
    </comment>
    <comment ref="G5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0,37" = 9,5 mm in drawing</t>
        </r>
      </text>
    </comment>
    <comment ref="G6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0,37" = 9,5 mm in drawing</t>
        </r>
      </text>
    </comment>
    <comment ref="F15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called FANUC and got it.</t>
        </r>
      </text>
    </comment>
    <comment ref="K78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counter sunked holes. Dimension is the one needed to choose the right screw length</t>
        </r>
      </text>
    </comment>
    <comment ref="O78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actual 2 but we have no support to know which two configureations to machine
</t>
        </r>
      </text>
    </comment>
    <comment ref="K79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from cad model. Missing in catalog</t>
        </r>
      </text>
    </comment>
    <comment ref="K80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measured in cad model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</authors>
  <commentList>
    <comment ref="M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Does not have to be 1 if all parameters to the left is 1. Most likley the cause is that there is not a single plate forfilling all the criterias due to probably a non supported combination of PD and BCD.</t>
        </r>
      </text>
    </comment>
    <comment ref="U2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Magnus Jonason Bjärenstam:
Does not have to be 1 if all parameters to the left is 1. Most likley the cause is that there is not a single plate forfilling all the criterias due to probably a non supported combination of PD and BCD.</t>
        </r>
      </text>
    </comment>
    <comment ref="AC2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Magnus Jonason Bjärenstam:
Does not have to be 1 if all parameters to the left is 1. Most likley the cause is that there is not a single plate forfilling all the criterias due to probably a non supported combination of PD and BCD.</t>
        </r>
      </text>
    </comment>
    <comment ref="L3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NA -&gt; 1</t>
        </r>
      </text>
    </comment>
    <comment ref="L4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NA -&gt; 1</t>
        </r>
      </text>
    </comment>
    <comment ref="L5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NA -&gt; 1</t>
        </r>
      </text>
    </comment>
    <comment ref="C22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Cross ref search. Imperial to metric</t>
        </r>
      </text>
    </comment>
    <comment ref="AD26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26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26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26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26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26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AD40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40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40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40" authorId="0" shapeId="0" xr:uid="{00000000-0006-0000-0500-00001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40" authorId="0" shapeId="0" xr:uid="{00000000-0006-0000-0500-00001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40" authorId="0" shapeId="0" xr:uid="{00000000-0006-0000-0500-00001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AD54" authorId="0" shapeId="0" xr:uid="{00000000-0006-0000-0500-00001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54" authorId="0" shapeId="0" xr:uid="{00000000-0006-0000-0500-00001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54" authorId="0" shapeId="0" xr:uid="{00000000-0006-0000-0500-00001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54" authorId="0" shapeId="0" xr:uid="{00000000-0006-0000-0500-00001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54" authorId="0" shapeId="0" xr:uid="{00000000-0006-0000-0500-00001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54" authorId="0" shapeId="0" xr:uid="{00000000-0006-0000-0500-00001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AD68" authorId="0" shapeId="0" xr:uid="{00000000-0006-0000-0500-00001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68" authorId="0" shapeId="0" xr:uid="{00000000-0006-0000-0500-00001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68" authorId="0" shapeId="0" xr:uid="{00000000-0006-0000-0500-00001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68" authorId="0" shapeId="0" xr:uid="{00000000-0006-0000-0500-00001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68" authorId="0" shapeId="0" xr:uid="{00000000-0006-0000-0500-00001E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68" authorId="0" shapeId="0" xr:uid="{00000000-0006-0000-0500-00001F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AD82" authorId="0" shapeId="0" xr:uid="{00000000-0006-0000-0500-000020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82" authorId="0" shapeId="0" xr:uid="{00000000-0006-0000-0500-00002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82" authorId="0" shapeId="0" xr:uid="{00000000-0006-0000-0500-000022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82" authorId="0" shapeId="0" xr:uid="{00000000-0006-0000-0500-000023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82" authorId="0" shapeId="0" xr:uid="{00000000-0006-0000-0500-000024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82" authorId="0" shapeId="0" xr:uid="{00000000-0006-0000-0500-000025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AD96" authorId="0" shapeId="0" xr:uid="{00000000-0006-0000-0500-000026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AJ96" authorId="0" shapeId="0" xr:uid="{00000000-0006-0000-0500-000027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AP96" authorId="0" shapeId="0" xr:uid="{00000000-0006-0000-0500-000028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H96" authorId="0" shapeId="0" xr:uid="{00000000-0006-0000-0500-000029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BCD-6,5
Compare both to BCD entered by user and BCD max.</t>
        </r>
      </text>
    </comment>
    <comment ref="BN96" authorId="0" shapeId="0" xr:uid="{00000000-0006-0000-0500-00002A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BCD-9,7
Compare both to BCD entered by user and BCD max.</t>
        </r>
      </text>
    </comment>
    <comment ref="BT96" authorId="0" shapeId="0" xr:uid="{00000000-0006-0000-0500-00002B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For A2 and B2:
PDmax = BCD-11
Compare both to BCD entered by user and BCD max.</t>
        </r>
      </text>
    </comment>
    <comment ref="B110" authorId="0" shapeId="0" xr:uid="{00000000-0006-0000-0500-00002C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Cross ref info:
http://www.gometricusa.org/news.html#TABLE%202</t>
        </r>
      </text>
    </comment>
    <comment ref="E110" authorId="0" shapeId="0" xr:uid="{00000000-0006-0000-0500-00002D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Clearance hole diameter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Jonason Bjärenstam</author>
  </authors>
  <commentList>
    <comment ref="C1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Magnus Jonason Bjärenstam:</t>
        </r>
        <r>
          <rPr>
            <sz val="9"/>
            <color indexed="81"/>
            <rFont val="Tahoma"/>
            <family val="2"/>
          </rPr>
          <t xml:space="preserve">
Extra version with all unnecessary tabs removed to minimize the work of converting it to the web.</t>
        </r>
      </text>
    </comment>
  </commentList>
</comments>
</file>

<file path=xl/sharedStrings.xml><?xml version="1.0" encoding="utf-8"?>
<sst xmlns="http://schemas.openxmlformats.org/spreadsheetml/2006/main" count="6294" uniqueCount="728">
  <si>
    <t>Shaft dia</t>
  </si>
  <si>
    <t>L</t>
  </si>
  <si>
    <t>Rin</t>
  </si>
  <si>
    <t>LC</t>
  </si>
  <si>
    <t>INLINE</t>
  </si>
  <si>
    <t>BGM</t>
  </si>
  <si>
    <t>PC25</t>
  </si>
  <si>
    <t>M4</t>
  </si>
  <si>
    <t>Part</t>
  </si>
  <si>
    <t>Machining</t>
  </si>
  <si>
    <t>Dependen on</t>
  </si>
  <si>
    <t>Bell house</t>
  </si>
  <si>
    <t>Length</t>
  </si>
  <si>
    <t>holes</t>
  </si>
  <si>
    <t>PC size, shaft length</t>
  </si>
  <si>
    <t>PC size, foot mount</t>
  </si>
  <si>
    <t>Motor Plate</t>
  </si>
  <si>
    <t>Size</t>
  </si>
  <si>
    <t>PD</t>
  </si>
  <si>
    <t>Mounting Screws</t>
  </si>
  <si>
    <t>Flange length/thread depth</t>
  </si>
  <si>
    <t>Hole/Thread</t>
  </si>
  <si>
    <t>Coupling</t>
  </si>
  <si>
    <t>PC size</t>
  </si>
  <si>
    <t>Bore</t>
  </si>
  <si>
    <t>Shadt D</t>
  </si>
  <si>
    <t>Shaft length</t>
  </si>
  <si>
    <t>Engineering, PC size</t>
  </si>
  <si>
    <t>No sleeve</t>
  </si>
  <si>
    <t>Diff. Coupl.</t>
  </si>
  <si>
    <t>Shaft D, PC size</t>
  </si>
  <si>
    <t>Sleeve/coupling</t>
  </si>
  <si>
    <t>PC32</t>
  </si>
  <si>
    <t>PC40</t>
  </si>
  <si>
    <t>PCF OK?</t>
  </si>
  <si>
    <t>Comments</t>
  </si>
  <si>
    <t>BD</t>
  </si>
  <si>
    <t>Threaded/hole</t>
  </si>
  <si>
    <t>Engineering, hole</t>
  </si>
  <si>
    <t>(Engineering), PC size, BD</t>
  </si>
  <si>
    <t>Production OK?</t>
  </si>
  <si>
    <t>RMID</t>
  </si>
  <si>
    <t>SD</t>
  </si>
  <si>
    <t>SL</t>
  </si>
  <si>
    <t>H</t>
  </si>
  <si>
    <t>M5</t>
  </si>
  <si>
    <t>PCF</t>
  </si>
  <si>
    <t>db</t>
  </si>
  <si>
    <t>PCF död artikel</t>
  </si>
  <si>
    <t>M6</t>
  </si>
  <si>
    <t>LC (PC25LX)</t>
  </si>
  <si>
    <t>PL (MAX)</t>
  </si>
  <si>
    <t>Rin (PC25LX)</t>
  </si>
  <si>
    <t>L (PC25LX)</t>
  </si>
  <si>
    <t>LC (PC32LX)</t>
  </si>
  <si>
    <t>Rin (PC32LX)</t>
  </si>
  <si>
    <t>L (PC32LX)</t>
  </si>
  <si>
    <t>LC (PC40LX)</t>
  </si>
  <si>
    <t>L (PC40LX)</t>
  </si>
  <si>
    <t>Rin (PC40LX)</t>
  </si>
  <si>
    <t>Pilot length</t>
  </si>
  <si>
    <t>Shaft Length</t>
  </si>
  <si>
    <t>Square size</t>
  </si>
  <si>
    <t>SQ_SZ</t>
  </si>
  <si>
    <t>ROUND_D</t>
  </si>
  <si>
    <t>Round motor diameter</t>
  </si>
  <si>
    <t>FL</t>
  </si>
  <si>
    <t>Flange length</t>
  </si>
  <si>
    <t>THRU_SCREW</t>
  </si>
  <si>
    <t>Nbr of holes</t>
  </si>
  <si>
    <t>THREAD_SZ</t>
  </si>
  <si>
    <t>THREAD_L</t>
  </si>
  <si>
    <t>Thread size</t>
  </si>
  <si>
    <t>Thread length</t>
  </si>
  <si>
    <t>NBR_HOLES</t>
  </si>
  <si>
    <t>3-123.400</t>
  </si>
  <si>
    <t>PC25LX</t>
  </si>
  <si>
    <t>3-123.399</t>
  </si>
  <si>
    <t>PC32LX</t>
  </si>
  <si>
    <t>3-123.398</t>
  </si>
  <si>
    <t>PC40LX</t>
  </si>
  <si>
    <t>PC25PA</t>
  </si>
  <si>
    <t>PC32PA</t>
  </si>
  <si>
    <t>PC40PA</t>
  </si>
  <si>
    <t>3-123.397</t>
  </si>
  <si>
    <t>3-123.396</t>
  </si>
  <si>
    <t>3-123.395</t>
  </si>
  <si>
    <t>NA</t>
  </si>
  <si>
    <t>Rin (PC25PA)</t>
  </si>
  <si>
    <t>L (PC25PA)</t>
  </si>
  <si>
    <t>Rin (PC32PA)</t>
  </si>
  <si>
    <t>L (PC32PA)</t>
  </si>
  <si>
    <t>Rin (PC40PA)</t>
  </si>
  <si>
    <t>L (PC40PA)</t>
  </si>
  <si>
    <t>PC32LX (INLINE)</t>
  </si>
  <si>
    <t>PC25LX (INLINE)</t>
  </si>
  <si>
    <t>PC40LX (INLINE)</t>
  </si>
  <si>
    <t>PC25PA (BGM)</t>
  </si>
  <si>
    <t>PC32PA (BGM)</t>
  </si>
  <si>
    <t>PC40PA (BGM)</t>
  </si>
  <si>
    <t>Close</t>
  </si>
  <si>
    <t>Coarse</t>
  </si>
  <si>
    <t>M1,6</t>
  </si>
  <si>
    <t>M2</t>
  </si>
  <si>
    <t>M2,5</t>
  </si>
  <si>
    <t>M3</t>
  </si>
  <si>
    <t>M8</t>
  </si>
  <si>
    <t>M10</t>
  </si>
  <si>
    <t>M12</t>
  </si>
  <si>
    <t>M16</t>
  </si>
  <si>
    <t>M20</t>
  </si>
  <si>
    <t>M24</t>
  </si>
  <si>
    <t>M30</t>
  </si>
  <si>
    <t>M36</t>
  </si>
  <si>
    <t>Thru hole diameter</t>
  </si>
  <si>
    <t>Bolt circle diameter</t>
  </si>
  <si>
    <t>Pilot diameter</t>
  </si>
  <si>
    <t>Shaft diameter</t>
  </si>
  <si>
    <t>MAGNUS: skriva in någonstans vilka gänglängder</t>
  </si>
  <si>
    <t>PNI: 14.03.04</t>
  </si>
  <si>
    <t xml:space="preserve"> vi har i de olika plattorna så att vi lätt kan ta fram L på skruvarna för att montera motorn.</t>
  </si>
  <si>
    <t>Varit bra at få ut artikelnummer på klockhusen, de olika längderna förvillar, några är katalogdata</t>
  </si>
  <si>
    <t>några faktiska längder på husen</t>
  </si>
  <si>
    <t>C= L-klockhus + fläns motorplatta</t>
  </si>
  <si>
    <t>LE= längd klockhus</t>
  </si>
  <si>
    <t>Kopplingshalva till motoraxel</t>
  </si>
  <si>
    <t>sista siffran i benämningen är diametern på motoraxeln</t>
  </si>
  <si>
    <t>IP65 (PC25LX)</t>
  </si>
  <si>
    <t>IP65 (PC32LX)</t>
  </si>
  <si>
    <t>IP65 (PC40LX)</t>
  </si>
  <si>
    <t>Y</t>
  </si>
  <si>
    <t>IP65 (PC25PA)</t>
  </si>
  <si>
    <t>IP65 (PC32PA)</t>
  </si>
  <si>
    <t>IP65 (PC40PA)</t>
  </si>
  <si>
    <t>?</t>
  </si>
  <si>
    <t>mm</t>
  </si>
  <si>
    <t>inch</t>
  </si>
  <si>
    <t>Motor Body</t>
  </si>
  <si>
    <t>Square</t>
  </si>
  <si>
    <t>Round</t>
  </si>
  <si>
    <t>Selected</t>
  </si>
  <si>
    <t>Thread</t>
  </si>
  <si>
    <t>Thread Depth</t>
  </si>
  <si>
    <t>#1 - 64 UNC</t>
  </si>
  <si>
    <t>#2 - 56 UNC</t>
  </si>
  <si>
    <t>#3 - 48 UNC</t>
  </si>
  <si>
    <t>#4 - 40 UNC</t>
  </si>
  <si>
    <t>#5 - 40 UNC</t>
  </si>
  <si>
    <t>#6 - 32 UNC</t>
  </si>
  <si>
    <t>#8 - 32 UNC</t>
  </si>
  <si>
    <t>#10 - 24 UNC</t>
  </si>
  <si>
    <t>#12 - 24 UNC</t>
  </si>
  <si>
    <t>1/4" - 20 UNC</t>
  </si>
  <si>
    <t>5/16" - 18 UNC</t>
  </si>
  <si>
    <t>3/8" - 16 UNC</t>
  </si>
  <si>
    <t>7/16" - 14 UNC</t>
  </si>
  <si>
    <t>1/2" - 13 UNC</t>
  </si>
  <si>
    <t>Thru Holes</t>
  </si>
  <si>
    <t>Tapped Holes</t>
  </si>
  <si>
    <t>No Tapped Holes</t>
  </si>
  <si>
    <t>Min</t>
  </si>
  <si>
    <t>Max</t>
  </si>
  <si>
    <t>Outline C</t>
  </si>
  <si>
    <t>Metric</t>
  </si>
  <si>
    <t>IF INCH</t>
  </si>
  <si>
    <t>PL</t>
  </si>
  <si>
    <t>Dec</t>
  </si>
  <si>
    <t>Rounded</t>
  </si>
  <si>
    <t>NOMINAL</t>
  </si>
  <si>
    <t>Tol-</t>
  </si>
  <si>
    <t>Tol+</t>
  </si>
  <si>
    <t>A</t>
  </si>
  <si>
    <t>B</t>
  </si>
  <si>
    <t>SQ/ROUND</t>
  </si>
  <si>
    <t>CHOSEN</t>
  </si>
  <si>
    <t>Hole Dia</t>
  </si>
  <si>
    <t>C</t>
  </si>
  <si>
    <t>D</t>
  </si>
  <si>
    <t>Txt msgs</t>
  </si>
  <si>
    <t xml:space="preserve">C = </t>
  </si>
  <si>
    <t>N</t>
  </si>
  <si>
    <t>BCD/Bolt dist.</t>
  </si>
  <si>
    <t>BDhit</t>
  </si>
  <si>
    <t>PDhit</t>
  </si>
  <si>
    <t>PLhit</t>
  </si>
  <si>
    <t>SDhit</t>
  </si>
  <si>
    <t>SLhit</t>
  </si>
  <si>
    <t>SQhit</t>
  </si>
  <si>
    <t>ROUNDhit</t>
  </si>
  <si>
    <t>Manufacturer</t>
  </si>
  <si>
    <t>Model</t>
  </si>
  <si>
    <t>THRU_HOLE_D</t>
  </si>
  <si>
    <t>Delta</t>
  </si>
  <si>
    <t>Drawing</t>
  </si>
  <si>
    <t>http://www.delta.com.tw/product/em/motion/motion_servo/download/dimension/ECMA-NB/Delta_ECMA_60_nobrake.pdf</t>
  </si>
  <si>
    <t>FLhit</t>
  </si>
  <si>
    <t>SCREWS AND HOLES</t>
  </si>
  <si>
    <t>Hit</t>
  </si>
  <si>
    <t>THRU-SCREWhit</t>
  </si>
  <si>
    <t>Thread SZ</t>
  </si>
  <si>
    <t>THREAD_SZhit</t>
  </si>
  <si>
    <t>THREAD_Lhit</t>
  </si>
  <si>
    <t>HIT?</t>
  </si>
  <si>
    <t>MOTOR ID FOUND</t>
  </si>
  <si>
    <t xml:space="preserve"> Motor ID:</t>
  </si>
  <si>
    <t>ComboTxt</t>
  </si>
  <si>
    <t>Kollmorgen</t>
  </si>
  <si>
    <t>AKM3xx-Axxxx-00</t>
  </si>
  <si>
    <t>AKM3xx-Cxxxx-00</t>
  </si>
  <si>
    <t>AKM3xx-Gxxxx-00</t>
  </si>
  <si>
    <t>SQ</t>
  </si>
  <si>
    <t>ROUND</t>
  </si>
  <si>
    <t>Thread SZ lookup</t>
  </si>
  <si>
    <t>AKM2xx-Axxxx-00</t>
  </si>
  <si>
    <t>AKM2xx-Cxxxx-00</t>
  </si>
  <si>
    <t>AKM2xx-Bxxxx-00</t>
  </si>
  <si>
    <t>AKM2xx-Dxxxx-00</t>
  </si>
  <si>
    <t>AKM2xx-Exxxx-00</t>
  </si>
  <si>
    <t>AKM1xx-Bxxxx-00</t>
  </si>
  <si>
    <t>AKM1xx-Cxxxx-00</t>
  </si>
  <si>
    <t>AKM4xx-Exxxx-00</t>
  </si>
  <si>
    <t>AKM4xx-Gxxxx-00</t>
  </si>
  <si>
    <t>AKM4xx-Hxxxx-00</t>
  </si>
  <si>
    <t>AKM4xx-Kxxxx-00</t>
  </si>
  <si>
    <t>No match found. Please contact customer service.</t>
  </si>
  <si>
    <t>THRU HOLES</t>
  </si>
  <si>
    <t>UI input</t>
  </si>
  <si>
    <t>MOTOR SQ/ROUND</t>
  </si>
  <si>
    <t>1=SQ, 2=ROUND</t>
  </si>
  <si>
    <t>1=THRU, 0 = TAPPED</t>
  </si>
  <si>
    <t>DATABASE SEARCH TOLERANCES</t>
  </si>
  <si>
    <t>PLATE</t>
  </si>
  <si>
    <t>PD min</t>
  </si>
  <si>
    <t>PD max</t>
  </si>
  <si>
    <t>PD hit?</t>
  </si>
  <si>
    <t>SQ MOTOR TAPPED HOLES</t>
  </si>
  <si>
    <t>SQ min</t>
  </si>
  <si>
    <t>SQ max</t>
  </si>
  <si>
    <t>SQ hit?</t>
  </si>
  <si>
    <t>PL min</t>
  </si>
  <si>
    <t>PL max</t>
  </si>
  <si>
    <t>PL hit?</t>
  </si>
  <si>
    <t>ROUND MOTOR TAPPED HOLES</t>
  </si>
  <si>
    <t>Round min</t>
  </si>
  <si>
    <t>Round max</t>
  </si>
  <si>
    <t>Round hit?</t>
  </si>
  <si>
    <t>PRIO</t>
  </si>
  <si>
    <t>Prio Hit</t>
  </si>
  <si>
    <t>SQ AND ROUND MOTOR THRU HOLES</t>
  </si>
  <si>
    <t>Choice</t>
  </si>
  <si>
    <t>1=SQ/ROUND THRU, 2=SQ TAPPED, 3=ROUND TAPPED</t>
  </si>
  <si>
    <t>SL min</t>
  </si>
  <si>
    <t>SL max</t>
  </si>
  <si>
    <t>All OK?</t>
  </si>
  <si>
    <t>ALL MOTOR TYPES</t>
  </si>
  <si>
    <t>SD min</t>
  </si>
  <si>
    <t>SD max</t>
  </si>
  <si>
    <t>Error txt</t>
  </si>
  <si>
    <t>OK txt</t>
  </si>
  <si>
    <t xml:space="preserve">PLATE </t>
  </si>
  <si>
    <t>e</t>
  </si>
  <si>
    <t>SL hit?</t>
  </si>
  <si>
    <t>SD hit?</t>
  </si>
  <si>
    <t>Y*</t>
  </si>
  <si>
    <r>
      <rPr>
        <b/>
        <sz val="11"/>
        <color theme="1"/>
        <rFont val="Calibri"/>
        <family val="2"/>
        <scheme val="minor"/>
      </rPr>
      <t>ECMA-C</t>
    </r>
    <r>
      <rPr>
        <sz val="11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0602</t>
    </r>
    <r>
      <rPr>
        <sz val="11"/>
        <color theme="1"/>
        <rFont val="Calibri"/>
        <family val="2"/>
        <scheme val="minor"/>
      </rPr>
      <t>xx</t>
    </r>
  </si>
  <si>
    <r>
      <rPr>
        <b/>
        <sz val="11"/>
        <color theme="1"/>
        <rFont val="Calibri"/>
        <family val="2"/>
        <scheme val="minor"/>
      </rPr>
      <t>AKM1</t>
    </r>
    <r>
      <rPr>
        <sz val="11"/>
        <color theme="1"/>
        <rFont val="Calibri"/>
        <family val="2"/>
        <scheme val="minor"/>
      </rPr>
      <t>xx-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xxxx</t>
    </r>
    <r>
      <rPr>
        <b/>
        <sz val="11"/>
        <color theme="1"/>
        <rFont val="Calibri"/>
        <family val="2"/>
        <scheme val="minor"/>
      </rPr>
      <t>-00</t>
    </r>
  </si>
  <si>
    <t>D A T A   B A S E S E A R CH  H I T S</t>
  </si>
  <si>
    <t>Validation test</t>
  </si>
  <si>
    <t>M O T O R    D A T A  B A S A E</t>
  </si>
  <si>
    <t>Column1</t>
  </si>
  <si>
    <t>MotorManufacturer</t>
  </si>
  <si>
    <t>PLATE (PC25LX)</t>
  </si>
  <si>
    <t>PLATE (PC32LX)</t>
  </si>
  <si>
    <t>PLATE (PC40LX)</t>
  </si>
  <si>
    <t>PLATE (PC25PA)</t>
  </si>
  <si>
    <t>PLATE (PC32PA)</t>
  </si>
  <si>
    <t>PLATE (PC40PA)</t>
  </si>
  <si>
    <t xml:space="preserve"> </t>
  </si>
  <si>
    <t>A2</t>
  </si>
  <si>
    <t>B2</t>
  </si>
  <si>
    <t>C2</t>
  </si>
  <si>
    <t>D2</t>
  </si>
  <si>
    <t>d</t>
  </si>
  <si>
    <t>MotorModels</t>
  </si>
  <si>
    <t>NEED TO CHANGE MACRO IF THESE CELLS ARE MOVED!</t>
  </si>
  <si>
    <t>test</t>
  </si>
  <si>
    <t>Combo1</t>
  </si>
  <si>
    <t>UI choices</t>
  </si>
  <si>
    <t>FirstRow</t>
  </si>
  <si>
    <t>NbrOfModels</t>
  </si>
  <si>
    <t>Combo2</t>
  </si>
  <si>
    <t>BCD</t>
  </si>
  <si>
    <t xml:space="preserve"> Manufacturer</t>
  </si>
  <si>
    <t xml:space="preserve"> Quick select motor:</t>
  </si>
  <si>
    <t>DISCLAIMER</t>
  </si>
  <si>
    <t>© 2014 Thomson Linear, Magnus Jonason B</t>
  </si>
  <si>
    <t>Double plates</t>
  </si>
  <si>
    <t>Applied Motion</t>
  </si>
  <si>
    <t>HT23-401</t>
  </si>
  <si>
    <t>http://www.applied-motion.com/sites/default/files/HT23-401_RevE.pdf</t>
  </si>
  <si>
    <t>HT34-478</t>
  </si>
  <si>
    <t>http://www.applied-motion.com/sites/default/files/HT34-478_RevF.pdf</t>
  </si>
  <si>
    <t>Emerson</t>
  </si>
  <si>
    <t>NTE-207</t>
  </si>
  <si>
    <t>http://www.emersonindustrial.com/en-EN/documentcenter/ControlTechniques/Brochures/CTA/BRO_SRVMTR.pdf</t>
  </si>
  <si>
    <t>NTE-212</t>
  </si>
  <si>
    <t>NTM-207</t>
  </si>
  <si>
    <t>NTM-212</t>
  </si>
  <si>
    <t>Fanuc</t>
  </si>
  <si>
    <t>αi I 0.5</t>
  </si>
  <si>
    <t>ALPHA i Servo Motors Specifications.pdf</t>
  </si>
  <si>
    <t>β0.5/3000</t>
  </si>
  <si>
    <t>FanucAlphaBeta.pdf</t>
  </si>
  <si>
    <t>SLM003</t>
  </si>
  <si>
    <t>FANUC-gfk1866a.pdf, http://support.ge-ip.com/support/resources/sites/GE_FANUC_SUPPORT/content/live/DOCUMENT/0/DO467/en_US/gfk1866a.pdf</t>
  </si>
  <si>
    <t>SLM005</t>
  </si>
  <si>
    <t>SLM010</t>
  </si>
  <si>
    <t>SLM020</t>
  </si>
  <si>
    <t>SLM040</t>
  </si>
  <si>
    <t>SLM075</t>
  </si>
  <si>
    <t>Rexroth</t>
  </si>
  <si>
    <t>MSK030</t>
  </si>
  <si>
    <t>http://www.boschrexroth-us.com/country_units/america/united_states/sub_websites/brus_dcc/documentation_downloads/ProductDocumentation/CurrentProducts/Motors/IndraDyn_S/29628905IndraDynSprojectV05.pdf</t>
  </si>
  <si>
    <t>MSK040</t>
  </si>
  <si>
    <t>Lin</t>
  </si>
  <si>
    <t>http://www.linengineering.com/contents/stepmotors/pdf/5718.pdf</t>
  </si>
  <si>
    <t>5718x</t>
  </si>
  <si>
    <t>http://www.linengineering.com/contents/stepmotors/pdf/8718.pdf</t>
  </si>
  <si>
    <t>8718x</t>
  </si>
  <si>
    <t>BL24Bxx</t>
  </si>
  <si>
    <t>http://www.linengineering.com/bldc-motors/BLDC-NEMA23.aspx</t>
  </si>
  <si>
    <t>Mitsubishi</t>
  </si>
  <si>
    <t>HF-KE13</t>
  </si>
  <si>
    <t>HF-KE23</t>
  </si>
  <si>
    <t>http://www.meau.com/Files/Servomotors___Amplifiers.PDF?ID=070000000000000001000000024702000</t>
  </si>
  <si>
    <t>HF-KN053</t>
  </si>
  <si>
    <t>HF-KN23</t>
  </si>
  <si>
    <t>HF-KN13</t>
  </si>
  <si>
    <t>HF-KN43</t>
  </si>
  <si>
    <t>HG-KR053</t>
  </si>
  <si>
    <t>HG-KR13</t>
  </si>
  <si>
    <t>HG-MR053</t>
  </si>
  <si>
    <t>HG-MR13</t>
  </si>
  <si>
    <t>HG-KR23</t>
  </si>
  <si>
    <t>HG-KR43</t>
  </si>
  <si>
    <t>HG-MR23</t>
  </si>
  <si>
    <t>HG-MR43</t>
  </si>
  <si>
    <t>http://scrcontrols.com/docs/G410A.pdf</t>
  </si>
  <si>
    <t>G413-xxx</t>
  </si>
  <si>
    <t>Moog</t>
  </si>
  <si>
    <t>G412-xxx</t>
  </si>
  <si>
    <t>MSMD5A</t>
  </si>
  <si>
    <t>MSMD01</t>
  </si>
  <si>
    <t>Panasonic</t>
  </si>
  <si>
    <t>http://industrial.panasonic.com/ww/i_e/25000/fa_pro_acs_minas_a4_e/fa_pro_acs_minas_a4_e/a4_22.pdf</t>
  </si>
  <si>
    <t>MSMD02</t>
  </si>
  <si>
    <t>MSMD04</t>
  </si>
  <si>
    <t>MPP092x</t>
  </si>
  <si>
    <t>MPJ092x</t>
  </si>
  <si>
    <t>Parker</t>
  </si>
  <si>
    <t>http://www.exoticautomation.com/exotic/exotic_pdfs/cat/Parker/EM/Parker%20-%20MPP%20MPJ%20Catalog.pdf</t>
  </si>
  <si>
    <t>MPM662xxx6xxx</t>
  </si>
  <si>
    <t>MPM662xxx7xxx</t>
  </si>
  <si>
    <t>MPM664xxx6xxx</t>
  </si>
  <si>
    <t>MPM664xxx7xxx</t>
  </si>
  <si>
    <t>http://divapps.parker.com/divapps/emn/faq/MTS/maxplus_rotary.pdf</t>
  </si>
  <si>
    <t>MPM721xxx7x1x</t>
  </si>
  <si>
    <t>MPM722xxx7x1x</t>
  </si>
  <si>
    <t>MPM723xxx7x1x</t>
  </si>
  <si>
    <t>MPM724xxx7x1x</t>
  </si>
  <si>
    <t>MPM721xxx7x2x</t>
  </si>
  <si>
    <t>MPM722xxx7x2x</t>
  </si>
  <si>
    <t>MPM723xxx7x2x</t>
  </si>
  <si>
    <t>MPM724xxx7x2x</t>
  </si>
  <si>
    <t>MPM891xxx6xxx</t>
  </si>
  <si>
    <t>MPM891xxx7xxx</t>
  </si>
  <si>
    <t>MPM892xxx6xxx</t>
  </si>
  <si>
    <t>MPM892xxx7xxx</t>
  </si>
  <si>
    <t>MPM893xxx6xxx</t>
  </si>
  <si>
    <t>MPM893xxx7xxx</t>
  </si>
  <si>
    <t>http://divapps.parker.com/divapps/emn/download%5CMotors%5CBEServoMotors_2013.pdf</t>
  </si>
  <si>
    <t>BE16x</t>
  </si>
  <si>
    <t>BE23x</t>
  </si>
  <si>
    <t>BE34x</t>
  </si>
  <si>
    <t>Rockwell (Allen-Bradley)</t>
  </si>
  <si>
    <t>http://literature.rockwellautomation.com/idc/groups/literature/documents/td/gmc-td001_-en-p.pdf</t>
  </si>
  <si>
    <t>MPL-A1510</t>
  </si>
  <si>
    <t>MPL-A1520</t>
  </si>
  <si>
    <t>MPL-A1530</t>
  </si>
  <si>
    <t>MPF-x3xx</t>
  </si>
  <si>
    <t>MPL-B1510</t>
  </si>
  <si>
    <t>MPL-B1520</t>
  </si>
  <si>
    <t>MPL-B1530</t>
  </si>
  <si>
    <t>MPL-A210</t>
  </si>
  <si>
    <t>MPL-A220</t>
  </si>
  <si>
    <t>MPL-A230</t>
  </si>
  <si>
    <t>MPL-B210</t>
  </si>
  <si>
    <t>MPL-B220</t>
  </si>
  <si>
    <t>MPL-B230</t>
  </si>
  <si>
    <t>TLY-A1x0xx-xx6-xAA (Metric)</t>
  </si>
  <si>
    <t>TL-A1x0xx-Bx3xAA (Metric)</t>
  </si>
  <si>
    <t>TLY-A220xx-xx6-xAA (Metric)</t>
  </si>
  <si>
    <t>TL-A220xx-Bx3xAA (Metric)</t>
  </si>
  <si>
    <t>TLY-A230xx-xx6-xAA (Metric)</t>
  </si>
  <si>
    <t>TL-A230xx-Bx3xAA (Metric)</t>
  </si>
  <si>
    <t>TLY-A220xx-Hx6xAN (NEMA)</t>
  </si>
  <si>
    <t>TLY-A230xx-Hx6xAN (NEMA)</t>
  </si>
  <si>
    <t>Sanyo Denki</t>
  </si>
  <si>
    <t>103H71xx-xx</t>
  </si>
  <si>
    <t>http://www.sanyo-denki.com/Data/Servo/catalogs/F2_ver1.pdf</t>
  </si>
  <si>
    <t>http://www.sanyo-denki.com/Data/Servo/catalogs/Q.pdf</t>
  </si>
  <si>
    <t>Q1AA04003xxx</t>
  </si>
  <si>
    <t>Q1AA06020xxx</t>
  </si>
  <si>
    <t>Q1AA07075xxx</t>
  </si>
  <si>
    <t>Q2AA04006xxx</t>
  </si>
  <si>
    <t>Q2AA04010xxx</t>
  </si>
  <si>
    <t>Q2AA05005xxx</t>
  </si>
  <si>
    <t>Q2AA07xxxxxx</t>
  </si>
  <si>
    <t>Q2AA08xxxxxx</t>
  </si>
  <si>
    <t>SM286xx-xx</t>
  </si>
  <si>
    <t>SEM</t>
  </si>
  <si>
    <t>HDM82x</t>
  </si>
  <si>
    <t>http://www.sem.co.uk/fileadmin/data/file/Brochure_HDM__English_Issue5.1.pdf</t>
  </si>
  <si>
    <t>Siemens</t>
  </si>
  <si>
    <t>1FK702x</t>
  </si>
  <si>
    <t>https://www.automation.siemens.com/mcms/infocenter/dokumentencenter/mc/Documentsu20Catalogs/Catalog-D31-2012-en.pdf</t>
  </si>
  <si>
    <t>1FK703x</t>
  </si>
  <si>
    <t>Slo-Syn</t>
  </si>
  <si>
    <t>M060</t>
  </si>
  <si>
    <t>http://g-line.chess.cornell.edu/G-lineStatus/G-lineManuals/StepperMotors/SloSynCatalogue.pdf</t>
  </si>
  <si>
    <t>M090</t>
  </si>
  <si>
    <t>http://www.yaskawa.com/site/dmservo.nsf/%28DocID%29/TKUR-5Z4QR7/$File/G-MI-99001-SGMPH-D.pdf</t>
  </si>
  <si>
    <t>Yaskawa</t>
  </si>
  <si>
    <t>SGMPH-01xxx</t>
  </si>
  <si>
    <t>SGMPH-02xxx</t>
  </si>
  <si>
    <t>SGMPH-04xxx</t>
  </si>
  <si>
    <t>SGMJV-01AxA21</t>
  </si>
  <si>
    <t>http://www.yaskawa.com/site/dmservo.nsf/%28DocID%29/TKUR-975RV5/$File/YEA-KAEPS800000042J-SGMJV.pdf</t>
  </si>
  <si>
    <t>SGMJV-04AxA21</t>
  </si>
  <si>
    <t>SJME-01A</t>
  </si>
  <si>
    <t>SJME-02</t>
  </si>
  <si>
    <t>http://www.yaskawa.com/site/products.nsf/ProductDetailPages/rotary%20servomotors~SJME%20Junma~SJME-Junma-dimensions.html</t>
  </si>
  <si>
    <t>SJME-04</t>
  </si>
  <si>
    <t>SJME-08</t>
  </si>
  <si>
    <t>http://catalog.nidec-servo.com/digital/english/general/pdf/KH56K.pdf</t>
  </si>
  <si>
    <t>KH56KM2</t>
  </si>
  <si>
    <t>Nidec Servo</t>
  </si>
  <si>
    <t>B56P</t>
  </si>
  <si>
    <t>Procesi</t>
  </si>
  <si>
    <t>Omron</t>
  </si>
  <si>
    <t>R88M-K05030</t>
  </si>
  <si>
    <t>R88M-K10030</t>
  </si>
  <si>
    <t>R88M-K20030</t>
  </si>
  <si>
    <t>R88M-K40030</t>
  </si>
  <si>
    <t>r88m-k_r88d-kt_r88d-kn_-ml2_-ect_i816-e1_4_1_csm2179</t>
  </si>
  <si>
    <t>http://www.procesi.si/wp-content/uploads/2013/07/LafertServo-.pdf</t>
  </si>
  <si>
    <t>HOLE_D</t>
  </si>
  <si>
    <t>The user is responsible to verify that all dimensions are according to drawing. Reservation for errors etc.</t>
  </si>
  <si>
    <t>Version</t>
  </si>
  <si>
    <t>Date</t>
  </si>
  <si>
    <t>Description</t>
  </si>
  <si>
    <t>Signature</t>
  </si>
  <si>
    <t>First version released. Motors with threaded holes not yet supported.</t>
  </si>
  <si>
    <t>MJB</t>
  </si>
  <si>
    <t>0.8.1</t>
  </si>
  <si>
    <t>VLM-2xx-Bxxx-00</t>
  </si>
  <si>
    <t>VLM-2xx-Dxxx-00</t>
  </si>
  <si>
    <t>VLM-2xx-Exxx-00</t>
  </si>
  <si>
    <t>VLM-2xx-Gxxx-00</t>
  </si>
  <si>
    <t>VLM_Selection_Guide_en-US_RevD.pdf</t>
  </si>
  <si>
    <t>VLM-3xx-Cxxx-00</t>
  </si>
  <si>
    <t>VLM-3xx-Dxxx-00</t>
  </si>
  <si>
    <t>CTM2xNLxxxx00</t>
  </si>
  <si>
    <t>CTP2xNLxxxx00</t>
  </si>
  <si>
    <t>CTM___CTP_Stepper_Catalog_en-EN_2007.pdf</t>
  </si>
  <si>
    <t>CTM3xNLxxKx00</t>
  </si>
  <si>
    <t>CTP3xNLxxKx00</t>
  </si>
  <si>
    <t>Bolt Circle Diameter (BCD)</t>
  </si>
  <si>
    <t>Flange Thickness (FT)</t>
  </si>
  <si>
    <t>Pilot Diamter (PD)</t>
  </si>
  <si>
    <t>Shaft Diameter (SD)</t>
  </si>
  <si>
    <t>Shaft Length (SL)</t>
  </si>
  <si>
    <t>Pilot Length (PL)</t>
  </si>
  <si>
    <t>Hole Diameter (HD)</t>
  </si>
  <si>
    <t>Bolt Distance (BD)</t>
  </si>
  <si>
    <t>Units</t>
  </si>
  <si>
    <t>BCD min</t>
  </si>
  <si>
    <t>BCD max</t>
  </si>
  <si>
    <t>BCD hit?</t>
  </si>
  <si>
    <t>OLD LIST FOR REF. NOT USED!!!</t>
  </si>
  <si>
    <t>#0 - 80 UNF</t>
  </si>
  <si>
    <t>#1 - 72 UNF</t>
  </si>
  <si>
    <t>#2 - 64 UNF</t>
  </si>
  <si>
    <t>#3 - 56 UNF</t>
  </si>
  <si>
    <t>#4 - 48 UNF</t>
  </si>
  <si>
    <t>#5 - 44 UNF</t>
  </si>
  <si>
    <t>#6 - 40 UNF</t>
  </si>
  <si>
    <t>#8 - 36 UNF</t>
  </si>
  <si>
    <t>#10 - 32 UNF</t>
  </si>
  <si>
    <t>#12 - 28 UNF</t>
  </si>
  <si>
    <t>1/4" - 28 UNF</t>
  </si>
  <si>
    <t>5/16" - 24 UNF</t>
  </si>
  <si>
    <t>3/8" - 24 UNF</t>
  </si>
  <si>
    <t>7/16" - 20 UNF</t>
  </si>
  <si>
    <t>1/2" - 20 UNF</t>
  </si>
  <si>
    <t>9/16" - 18 UNF</t>
  </si>
  <si>
    <t>5/8" - 18 UNF</t>
  </si>
  <si>
    <t>3/4" - 16 UNF</t>
  </si>
  <si>
    <t>7/8" - 14 UNF</t>
  </si>
  <si>
    <t>1" - 12 UNF</t>
  </si>
  <si>
    <t>1 1/8" - 12 UNF</t>
  </si>
  <si>
    <t>1 1/4" - 12 UNF</t>
  </si>
  <si>
    <t>1 3/8" - 12 UNF</t>
  </si>
  <si>
    <t>1 1/2" - 12 UNF</t>
  </si>
  <si>
    <t>Chosen thread</t>
  </si>
  <si>
    <t>Cross fit</t>
  </si>
  <si>
    <t>Unsupported combination</t>
  </si>
  <si>
    <t>PRODUCTION TAB</t>
  </si>
  <si>
    <t>LX</t>
  </si>
  <si>
    <t>PA</t>
  </si>
  <si>
    <t>Type</t>
  </si>
  <si>
    <t>Motor ID</t>
  </si>
  <si>
    <t>Plate:</t>
  </si>
  <si>
    <t>Plate</t>
  </si>
  <si>
    <t>MOTOR  PLATE DRAWINGS</t>
  </si>
  <si>
    <t xml:space="preserve">Columns </t>
  </si>
  <si>
    <t>PC25LXA</t>
  </si>
  <si>
    <t>PC25LXB</t>
  </si>
  <si>
    <t>PC25LXA2</t>
  </si>
  <si>
    <t>PC25LXB2</t>
  </si>
  <si>
    <t>PC25PAC</t>
  </si>
  <si>
    <t>PC25PAD</t>
  </si>
  <si>
    <t>PC25PAC2</t>
  </si>
  <si>
    <t>PC25PAD2</t>
  </si>
  <si>
    <t>PC32LXA</t>
  </si>
  <si>
    <t>PC32LXB</t>
  </si>
  <si>
    <t>PC32LXA2</t>
  </si>
  <si>
    <t>PC32LXB2</t>
  </si>
  <si>
    <t>PC32PAC</t>
  </si>
  <si>
    <t>PC32PAD</t>
  </si>
  <si>
    <t>PC32PAC2</t>
  </si>
  <si>
    <t>PC32PAD2</t>
  </si>
  <si>
    <t>PC40LXA</t>
  </si>
  <si>
    <t>PC40LXB</t>
  </si>
  <si>
    <t>PC40LXA2</t>
  </si>
  <si>
    <t>PC40LXB2</t>
  </si>
  <si>
    <t>PC40PAC</t>
  </si>
  <si>
    <t>PC40PAD</t>
  </si>
  <si>
    <t>PC40PAC2</t>
  </si>
  <si>
    <t>PC40PAD2</t>
  </si>
  <si>
    <t>Drw Machining</t>
  </si>
  <si>
    <t>Chosen</t>
  </si>
  <si>
    <t>Beta1 (PC25LX)</t>
  </si>
  <si>
    <t>Beta2 (PC25LX)</t>
  </si>
  <si>
    <t>Beta2 (PC32LX)</t>
  </si>
  <si>
    <t>Beta1 (PC32LX)</t>
  </si>
  <si>
    <t>Beta1 (PC40LX)</t>
  </si>
  <si>
    <t>Beta2 (PC40LX)</t>
  </si>
  <si>
    <t>Beta1 (PC25PA)</t>
  </si>
  <si>
    <t>Beta2 (PC25PA)</t>
  </si>
  <si>
    <t>Beta1 (PC32PA)</t>
  </si>
  <si>
    <t>Beta2 (PC32PA)</t>
  </si>
  <si>
    <t>Beta1 (PC40PA)</t>
  </si>
  <si>
    <t>Beta2 (PC40PA)</t>
  </si>
  <si>
    <t>Beta1</t>
  </si>
  <si>
    <t>Beta2</t>
  </si>
  <si>
    <t>Sz hit?</t>
  </si>
  <si>
    <t>Type hit?</t>
  </si>
  <si>
    <t>Hit?</t>
  </si>
  <si>
    <t>0.8.9</t>
  </si>
  <si>
    <t>ID</t>
  </si>
  <si>
    <t>LOAD ID</t>
  </si>
  <si>
    <t>HD</t>
  </si>
  <si>
    <t>FT</t>
  </si>
  <si>
    <t>Threaded</t>
  </si>
  <si>
    <t>Depth</t>
  </si>
  <si>
    <t>Nbr</t>
  </si>
  <si>
    <t>(number of screws/holes)</t>
  </si>
  <si>
    <t>NEW ID</t>
  </si>
  <si>
    <t>CROSS REF (MOTOR LIST)</t>
  </si>
  <si>
    <t>Web version</t>
  </si>
  <si>
    <t>x</t>
  </si>
  <si>
    <t>0.9.0</t>
  </si>
  <si>
    <t xml:space="preserve"> -Changed description of outer dimension of motor body to be dependent on selection.
-Added new graphics.
-Added Load motor ID in the NewID tab.
-Started to implement support for threaded holes (not yet available for end user)
-Added a tab for production.</t>
  </si>
  <si>
    <t xml:space="preserve"> -Added metric threaded holes, M3, M4, M5.
-Added more information in  the production tab.</t>
  </si>
  <si>
    <t>Tillverkare</t>
  </si>
  <si>
    <t>Artikel nr</t>
  </si>
  <si>
    <t>kommentar</t>
  </si>
  <si>
    <t>3-123.467 / 466</t>
  </si>
  <si>
    <t>3-123.496 / 495</t>
  </si>
  <si>
    <t>3-123.436 / 463</t>
  </si>
  <si>
    <t>3-123.508 / 507</t>
  </si>
  <si>
    <t>3-123.492 / 491</t>
  </si>
  <si>
    <t>3-123.464 / 437</t>
  </si>
  <si>
    <t>3-123.488 / 503</t>
  </si>
  <si>
    <t>3-123.464 / 468</t>
  </si>
  <si>
    <t>3-123.488 / 487</t>
  </si>
  <si>
    <t>3-123.465 / 438</t>
  </si>
  <si>
    <t>3-123.465 / 469</t>
  </si>
  <si>
    <t>0.9.1</t>
  </si>
  <si>
    <t xml:space="preserve"> -Added new drawings to double plates</t>
  </si>
  <si>
    <t>0.9.2</t>
  </si>
  <si>
    <t xml:space="preserve"> -Added new drawings for SPEC-plates.</t>
  </si>
  <si>
    <t>MJB/MK/AK</t>
  </si>
  <si>
    <t>0.9.3</t>
  </si>
  <si>
    <t>AK</t>
  </si>
  <si>
    <t>Added new formula for SPL plates, reference to drawing. -Modify BCD hole diameter on AKM3C= 85 mm and AKM3A= 75 mm.</t>
  </si>
  <si>
    <t>N*</t>
  </si>
  <si>
    <t>0.9.4</t>
  </si>
  <si>
    <t>SD is shown in the production tab when the motor ID calls for a SPL plate.</t>
  </si>
  <si>
    <t>0.9.5</t>
  </si>
  <si>
    <t>The thread size is shown instead of generated hole diameter in the production tab for A2, B2, C2 and D2 plates.</t>
  </si>
  <si>
    <t>SPLB2-008</t>
  </si>
  <si>
    <t>31.5</t>
  </si>
  <si>
    <t>SPLD2-125</t>
  </si>
  <si>
    <t>NemaTRUE NT17</t>
  </si>
  <si>
    <t>http://www.thomsonlinear.com/downloads/gearheads/True_Planetary_Gearheads_cten.pdf</t>
  </si>
  <si>
    <t>NemaTRUE NT23</t>
  </si>
  <si>
    <t>NemaTRUE NT60</t>
  </si>
  <si>
    <t xml:space="preserve">Micron </t>
  </si>
  <si>
    <t>XTRUE XT060</t>
  </si>
  <si>
    <t>Teknic</t>
  </si>
  <si>
    <t xml:space="preserve">NEMA23, 3/8” shaft </t>
  </si>
  <si>
    <t xml:space="preserve">NEMA34, ½” shaft </t>
  </si>
  <si>
    <t xml:space="preserve">https://www.teknic.com/files/downloads/clearpath_user_manual.pdf, sid 99 </t>
  </si>
  <si>
    <t xml:space="preserve"> https://www.teknic.com/files/downloads/23xx%20CPM%20Dimensional%20Drawing.pdf</t>
  </si>
  <si>
    <t>N/Y</t>
  </si>
  <si>
    <t>41.2</t>
  </si>
  <si>
    <t>NO</t>
  </si>
  <si>
    <t>6.5</t>
  </si>
  <si>
    <t>0.9.6</t>
  </si>
  <si>
    <t>AKJ</t>
  </si>
  <si>
    <t>Change SQ MOTOR for LX version in criteria. SQ dimension doesn’t matter for the ready mount</t>
  </si>
  <si>
    <t>Yes</t>
  </si>
  <si>
    <t>41.7</t>
  </si>
  <si>
    <t>YES</t>
  </si>
  <si>
    <r>
      <t xml:space="preserve">PC-series Motor ID Selection Tool </t>
    </r>
    <r>
      <rPr>
        <b/>
        <sz val="11"/>
        <color theme="3"/>
        <rFont val="Cambria"/>
        <family val="1"/>
        <scheme val="major"/>
      </rPr>
      <t xml:space="preserve">
To obtain Your specific Motor ID either use the pull-down menu for Manufacturer and Model respectively and hit the LOAD MOTOR button, or manually enter the dimensions of Your motor</t>
    </r>
  </si>
  <si>
    <t>y</t>
  </si>
  <si>
    <t>SPLA-137</t>
  </si>
  <si>
    <t>3-123.552</t>
  </si>
  <si>
    <t>SPLA-192</t>
  </si>
  <si>
    <t>3-123.620</t>
  </si>
  <si>
    <t>SPLD2-203</t>
  </si>
  <si>
    <t>SPLD2-210</t>
  </si>
  <si>
    <t>0.9.7</t>
  </si>
  <si>
    <t>AÖ</t>
  </si>
  <si>
    <t>Max BCD for 25LX from 71mm to 72mm
Max SD for 32LX &amp; 40LX from 16mm to 19mm</t>
  </si>
  <si>
    <t>SPLB-242</t>
  </si>
  <si>
    <t>3-123.648</t>
  </si>
  <si>
    <t>SPLC-243</t>
  </si>
  <si>
    <t>SPLB2-246</t>
  </si>
  <si>
    <t>3-123.651 / 650</t>
  </si>
  <si>
    <t>SPLA-248</t>
  </si>
  <si>
    <t>SPLA2-249</t>
  </si>
  <si>
    <t>SPLA-125</t>
  </si>
  <si>
    <t>SPLD2-271</t>
  </si>
  <si>
    <t xml:space="preserve">text was missing in UI (DE41-DE45) corrected  </t>
  </si>
  <si>
    <t>SPLB2-107</t>
  </si>
  <si>
    <t>3-123.667</t>
  </si>
  <si>
    <t>SPLB-125</t>
  </si>
  <si>
    <t>3-123.668</t>
  </si>
  <si>
    <t>SPLC2-007</t>
  </si>
  <si>
    <t>3-123.464 / 670</t>
  </si>
  <si>
    <t>SPLD2-161</t>
  </si>
  <si>
    <t>3-123.630</t>
  </si>
  <si>
    <t>3-123.600</t>
  </si>
  <si>
    <t>3-123.664 / 468</t>
  </si>
  <si>
    <t>3-123.538 / 469</t>
  </si>
  <si>
    <t>3-123.554 / 578</t>
  </si>
  <si>
    <t>3-123.599 / 600</t>
  </si>
  <si>
    <t>3-123.438 / 601</t>
  </si>
  <si>
    <t>3-123.437 / 603</t>
  </si>
  <si>
    <t>3-123.665 / 437</t>
  </si>
  <si>
    <t>SPLA2-135</t>
  </si>
  <si>
    <t>SPLB2-135</t>
  </si>
  <si>
    <t>SPLD-221</t>
  </si>
  <si>
    <t>SPLD-223</t>
  </si>
  <si>
    <t>SPLD-224</t>
  </si>
  <si>
    <t>SPLB2-120</t>
  </si>
  <si>
    <t>SPLC2-092</t>
  </si>
  <si>
    <t>SPLC2-106</t>
  </si>
  <si>
    <t>SPLD2-107</t>
  </si>
  <si>
    <t>Witout SPL means that plate to be machined in the house</t>
  </si>
  <si>
    <t>3-123.669 / 503</t>
  </si>
  <si>
    <t>3-123.545  / 438</t>
  </si>
  <si>
    <t>3-123.522 / 507</t>
  </si>
  <si>
    <t>3-123.526 / 503</t>
  </si>
  <si>
    <t>3-123.536 / 537</t>
  </si>
  <si>
    <t>3-123.535 / 469</t>
  </si>
  <si>
    <t>3-123.621 / 466</t>
  </si>
  <si>
    <t>3-123.629 / 628</t>
  </si>
  <si>
    <t>3-123.632</t>
  </si>
  <si>
    <t>3-123.636</t>
  </si>
  <si>
    <t>3-123.649</t>
  </si>
  <si>
    <t>3-123.660</t>
  </si>
  <si>
    <t>3-123.652</t>
  </si>
  <si>
    <t>3-123.653 / 487</t>
  </si>
  <si>
    <t>32LXB2-274</t>
  </si>
  <si>
    <t>40LXB2-274</t>
  </si>
  <si>
    <t xml:space="preserve">3-123.465 / 671 </t>
  </si>
  <si>
    <t>32PASPLC-204</t>
  </si>
  <si>
    <t>40PASPLC-204</t>
  </si>
  <si>
    <t>3-123.521 / 499</t>
  </si>
  <si>
    <t>SPLA2-282</t>
  </si>
  <si>
    <t>3-123.487 / 689</t>
  </si>
  <si>
    <t>SPLD2-283</t>
  </si>
  <si>
    <t>3-123.466 / 690</t>
  </si>
  <si>
    <t>3-123.465 / 692</t>
  </si>
  <si>
    <t>40PAD2-288</t>
  </si>
  <si>
    <t>SPLC-290</t>
  </si>
  <si>
    <t>3-123.693</t>
  </si>
  <si>
    <t>SPLB2-300</t>
  </si>
  <si>
    <t>3-123.696 / 437</t>
  </si>
  <si>
    <t>SPLC-327</t>
  </si>
  <si>
    <t>3-123.719</t>
  </si>
  <si>
    <t>SPLC-137</t>
  </si>
  <si>
    <t>3-123.720</t>
  </si>
  <si>
    <t>SPLC-329</t>
  </si>
  <si>
    <t>Same plate as for ID=290</t>
  </si>
  <si>
    <t>SPLC-333</t>
  </si>
  <si>
    <t>3-123.721</t>
  </si>
  <si>
    <t>AKM2G-2x</t>
  </si>
  <si>
    <t>AKM2G-3x</t>
  </si>
  <si>
    <t>AKM2G-4x</t>
  </si>
  <si>
    <t>https://www.kollmorgen.com/en-us/products/servo-motors/literature/kollmorgen-akm2g-low-voltage-selection-guide/</t>
  </si>
  <si>
    <t>AKM4xx-Axxxx-00</t>
  </si>
  <si>
    <t>SPLB-339</t>
  </si>
  <si>
    <t>3-123.722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</si>
</sst>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2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b/>
      <sz val="24"/>
      <color theme="3"/>
      <name val="Cambria"/>
      <family val="2"/>
      <scheme val="maj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FF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4" tint="0.59999389629810485"/>
        <bgColor theme="4" tint="0.5999938962981048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1">
    <xf numFmtId="0" fontId="0" fillId="0" borderId="0"/>
    <xf numFmtId="0" fontId="4" fillId="0" borderId="21" applyNumberFormat="0" applyFill="0" applyAlignment="0" applyProtection="0"/>
    <xf numFmtId="0" fontId="5" fillId="3" borderId="20" applyNumberFormat="0" applyAlignment="0" applyProtection="0"/>
    <xf numFmtId="0" fontId="6" fillId="4" borderId="0" applyNumberFormat="0" applyBorder="0" applyAlignment="0" applyProtection="0"/>
    <xf numFmtId="0" fontId="3" fillId="0" borderId="0"/>
    <xf numFmtId="0" fontId="11" fillId="2" borderId="20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1" fillId="18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 applyAlignment="1"/>
    <xf numFmtId="0" fontId="0" fillId="5" borderId="0" xfId="0" applyFill="1"/>
    <xf numFmtId="0" fontId="7" fillId="0" borderId="0" xfId="0" applyFont="1"/>
    <xf numFmtId="0" fontId="0" fillId="6" borderId="0" xfId="0" applyFill="1"/>
    <xf numFmtId="0" fontId="6" fillId="4" borderId="0" xfId="3"/>
    <xf numFmtId="0" fontId="4" fillId="0" borderId="21" xfId="1"/>
    <xf numFmtId="1" fontId="0" fillId="0" borderId="0" xfId="0" applyNumberFormat="1" applyAlignment="1">
      <alignment horizontal="right"/>
    </xf>
    <xf numFmtId="0" fontId="8" fillId="4" borderId="22" xfId="3" applyFont="1" applyFill="1" applyBorder="1"/>
    <xf numFmtId="0" fontId="0" fillId="0" borderId="0" xfId="0" applyAlignment="1">
      <alignment wrapText="1"/>
    </xf>
    <xf numFmtId="0" fontId="5" fillId="3" borderId="20" xfId="2"/>
    <xf numFmtId="0" fontId="0" fillId="7" borderId="0" xfId="0" applyFill="1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/>
    <xf numFmtId="0" fontId="0" fillId="0" borderId="0" xfId="0" applyAlignment="1">
      <alignment vertical="center" wrapText="1"/>
    </xf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20" xfId="5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49" fontId="0" fillId="0" borderId="0" xfId="0" applyNumberFormat="1"/>
    <xf numFmtId="0" fontId="0" fillId="0" borderId="0" xfId="0" applyNumberFormat="1" applyAlignment="1">
      <alignment horizontal="right"/>
    </xf>
    <xf numFmtId="0" fontId="8" fillId="4" borderId="23" xfId="3" applyFont="1" applyFill="1" applyBorder="1"/>
    <xf numFmtId="0" fontId="0" fillId="0" borderId="4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4" xfId="0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0" borderId="0" xfId="0" applyNumberFormat="1" applyBorder="1"/>
    <xf numFmtId="0" fontId="0" fillId="0" borderId="2" xfId="0" applyBorder="1" applyAlignment="1">
      <alignment horizontal="right"/>
    </xf>
    <xf numFmtId="164" fontId="7" fillId="0" borderId="2" xfId="0" applyNumberFormat="1" applyFont="1" applyBorder="1" applyAlignment="1">
      <alignment horizontal="right"/>
    </xf>
    <xf numFmtId="0" fontId="3" fillId="0" borderId="4" xfId="4" applyBorder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24" xfId="0" applyFill="1" applyBorder="1" applyAlignment="1"/>
    <xf numFmtId="0" fontId="0" fillId="0" borderId="25" xfId="0" applyFill="1" applyBorder="1" applyAlignment="1"/>
    <xf numFmtId="0" fontId="0" fillId="0" borderId="5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5" xfId="0" applyFill="1" applyBorder="1"/>
    <xf numFmtId="0" fontId="0" fillId="0" borderId="26" xfId="0" applyFill="1" applyBorder="1"/>
    <xf numFmtId="2" fontId="0" fillId="0" borderId="0" xfId="0" applyNumberFormat="1"/>
    <xf numFmtId="0" fontId="7" fillId="0" borderId="4" xfId="0" applyFont="1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31" xfId="0" applyBorder="1"/>
    <xf numFmtId="0" fontId="0" fillId="0" borderId="16" xfId="0" applyBorder="1"/>
    <xf numFmtId="0" fontId="12" fillId="0" borderId="0" xfId="0" applyFont="1" applyBorder="1"/>
    <xf numFmtId="0" fontId="16" fillId="13" borderId="6" xfId="7" applyFont="1" applyFill="1" applyBorder="1" applyAlignment="1">
      <alignment vertical="center"/>
    </xf>
    <xf numFmtId="0" fontId="0" fillId="13" borderId="7" xfId="0" applyFill="1" applyBorder="1"/>
    <xf numFmtId="0" fontId="0" fillId="13" borderId="8" xfId="0" applyFill="1" applyBorder="1"/>
    <xf numFmtId="0" fontId="0" fillId="13" borderId="4" xfId="0" applyFill="1" applyBorder="1"/>
    <xf numFmtId="0" fontId="0" fillId="13" borderId="0" xfId="0" applyFill="1" applyBorder="1"/>
    <xf numFmtId="0" fontId="0" fillId="13" borderId="5" xfId="0" applyFill="1" applyBorder="1"/>
    <xf numFmtId="0" fontId="0" fillId="13" borderId="1" xfId="0" applyFill="1" applyBorder="1"/>
    <xf numFmtId="0" fontId="0" fillId="13" borderId="2" xfId="0" applyFill="1" applyBorder="1"/>
    <xf numFmtId="0" fontId="0" fillId="13" borderId="3" xfId="0" applyFill="1" applyBorder="1"/>
    <xf numFmtId="0" fontId="17" fillId="0" borderId="0" xfId="0" applyFont="1"/>
    <xf numFmtId="0" fontId="18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9" fillId="0" borderId="0" xfId="0" applyFont="1"/>
    <xf numFmtId="164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5" fillId="3" borderId="20" xfId="2" applyAlignment="1" applyProtection="1">
      <alignment horizontal="right"/>
      <protection locked="0"/>
    </xf>
    <xf numFmtId="0" fontId="0" fillId="0" borderId="0" xfId="0"/>
    <xf numFmtId="0" fontId="0" fillId="15" borderId="0" xfId="0" applyFill="1"/>
    <xf numFmtId="0" fontId="20" fillId="14" borderId="0" xfId="8" applyAlignment="1">
      <alignment vertical="center" wrapText="1"/>
    </xf>
    <xf numFmtId="0" fontId="20" fillId="14" borderId="0" xfId="8"/>
    <xf numFmtId="0" fontId="20" fillId="14" borderId="6" xfId="8" applyBorder="1"/>
    <xf numFmtId="0" fontId="20" fillId="14" borderId="8" xfId="8" applyBorder="1"/>
    <xf numFmtId="0" fontId="20" fillId="14" borderId="4" xfId="8" applyBorder="1" applyAlignment="1">
      <alignment horizontal="right"/>
    </xf>
    <xf numFmtId="0" fontId="20" fillId="14" borderId="5" xfId="8" applyBorder="1"/>
    <xf numFmtId="0" fontId="20" fillId="14" borderId="4" xfId="8" applyBorder="1" applyAlignment="1">
      <alignment horizontal="right" vertical="center" wrapText="1"/>
    </xf>
    <xf numFmtId="0" fontId="20" fillId="14" borderId="1" xfId="8" applyBorder="1" applyAlignment="1">
      <alignment horizontal="right" vertical="center" wrapText="1"/>
    </xf>
    <xf numFmtId="0" fontId="20" fillId="14" borderId="3" xfId="8" applyBorder="1"/>
    <xf numFmtId="0" fontId="0" fillId="13" borderId="25" xfId="0" applyFill="1" applyBorder="1"/>
    <xf numFmtId="0" fontId="0" fillId="16" borderId="0" xfId="0" applyFill="1"/>
    <xf numFmtId="0" fontId="0" fillId="16" borderId="0" xfId="0" applyFill="1" applyBorder="1"/>
    <xf numFmtId="0" fontId="0" fillId="15" borderId="0" xfId="0" applyFill="1" applyBorder="1"/>
    <xf numFmtId="0" fontId="0" fillId="15" borderId="25" xfId="0" applyFill="1" applyBorder="1"/>
    <xf numFmtId="0" fontId="0" fillId="17" borderId="0" xfId="0" applyFill="1"/>
    <xf numFmtId="0" fontId="0" fillId="17" borderId="0" xfId="0" applyFill="1" applyBorder="1"/>
    <xf numFmtId="0" fontId="0" fillId="17" borderId="25" xfId="0" applyFill="1" applyBorder="1"/>
    <xf numFmtId="0" fontId="0" fillId="13" borderId="0" xfId="0" applyFill="1" applyBorder="1" applyAlignment="1">
      <alignment horizontal="right"/>
    </xf>
    <xf numFmtId="0" fontId="0" fillId="0" borderId="0" xfId="0" applyFill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7" fillId="13" borderId="0" xfId="0" applyFont="1" applyFill="1" applyBorder="1"/>
    <xf numFmtId="0" fontId="7" fillId="15" borderId="0" xfId="0" applyFont="1" applyFill="1"/>
    <xf numFmtId="0" fontId="7" fillId="17" borderId="0" xfId="0" applyFont="1" applyFill="1"/>
    <xf numFmtId="0" fontId="0" fillId="17" borderId="0" xfId="0" applyFont="1" applyFill="1"/>
    <xf numFmtId="0" fontId="0" fillId="15" borderId="0" xfId="0" applyFill="1" applyBorder="1" applyAlignment="1">
      <alignment horizontal="right"/>
    </xf>
    <xf numFmtId="0" fontId="0" fillId="17" borderId="0" xfId="0" applyFill="1" applyBorder="1" applyAlignment="1">
      <alignment horizontal="right"/>
    </xf>
    <xf numFmtId="0" fontId="0" fillId="16" borderId="0" xfId="0" applyFill="1" applyBorder="1" applyAlignment="1">
      <alignment horizontal="right"/>
    </xf>
    <xf numFmtId="0" fontId="0" fillId="16" borderId="25" xfId="0" applyFill="1" applyBorder="1"/>
    <xf numFmtId="0" fontId="0" fillId="0" borderId="1" xfId="0" applyFill="1" applyBorder="1"/>
    <xf numFmtId="0" fontId="0" fillId="0" borderId="2" xfId="0" applyFill="1" applyBorder="1"/>
    <xf numFmtId="0" fontId="7" fillId="15" borderId="0" xfId="0" applyFont="1" applyFill="1" applyBorder="1"/>
    <xf numFmtId="0" fontId="7" fillId="17" borderId="0" xfId="0" applyFont="1" applyFill="1" applyBorder="1"/>
    <xf numFmtId="0" fontId="0" fillId="17" borderId="0" xfId="0" applyFont="1" applyFill="1" applyBorder="1"/>
    <xf numFmtId="0" fontId="7" fillId="13" borderId="7" xfId="0" applyFont="1" applyFill="1" applyBorder="1"/>
    <xf numFmtId="0" fontId="7" fillId="15" borderId="7" xfId="0" applyFont="1" applyFill="1" applyBorder="1"/>
    <xf numFmtId="0" fontId="0" fillId="15" borderId="7" xfId="0" applyFill="1" applyBorder="1"/>
    <xf numFmtId="0" fontId="7" fillId="17" borderId="7" xfId="0" applyFont="1" applyFill="1" applyBorder="1"/>
    <xf numFmtId="0" fontId="0" fillId="17" borderId="7" xfId="0" applyFont="1" applyFill="1" applyBorder="1"/>
    <xf numFmtId="0" fontId="0" fillId="17" borderId="7" xfId="0" applyFill="1" applyBorder="1"/>
    <xf numFmtId="0" fontId="0" fillId="16" borderId="7" xfId="0" applyFill="1" applyBorder="1"/>
    <xf numFmtId="0" fontId="0" fillId="15" borderId="2" xfId="0" applyFill="1" applyBorder="1"/>
    <xf numFmtId="0" fontId="0" fillId="17" borderId="2" xfId="0" applyFill="1" applyBorder="1"/>
    <xf numFmtId="0" fontId="0" fillId="16" borderId="2" xfId="0" applyFill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35" xfId="0" applyBorder="1"/>
    <xf numFmtId="0" fontId="0" fillId="0" borderId="15" xfId="0" applyBorder="1"/>
    <xf numFmtId="0" fontId="0" fillId="0" borderId="36" xfId="0" applyBorder="1"/>
    <xf numFmtId="0" fontId="7" fillId="0" borderId="6" xfId="0" applyFont="1" applyBorder="1"/>
    <xf numFmtId="0" fontId="7" fillId="0" borderId="0" xfId="0" applyFont="1" applyBorder="1"/>
    <xf numFmtId="0" fontId="0" fillId="0" borderId="0" xfId="0" applyNumberFormat="1" applyBorder="1"/>
    <xf numFmtId="0" fontId="0" fillId="0" borderId="2" xfId="0" applyNumberFormat="1" applyBorder="1"/>
    <xf numFmtId="0" fontId="0" fillId="11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5" fillId="3" borderId="20" xfId="2" applyProtection="1">
      <protection locked="0"/>
    </xf>
    <xf numFmtId="0" fontId="0" fillId="0" borderId="0" xfId="0" applyAlignment="1">
      <alignment vertical="top"/>
    </xf>
    <xf numFmtId="0" fontId="21" fillId="18" borderId="3" xfId="9" applyBorder="1"/>
    <xf numFmtId="0" fontId="13" fillId="0" borderId="0" xfId="6" applyAlignment="1">
      <alignment wrapText="1"/>
    </xf>
    <xf numFmtId="0" fontId="14" fillId="0" borderId="0" xfId="7"/>
    <xf numFmtId="0" fontId="0" fillId="0" borderId="0" xfId="0" applyAlignment="1">
      <alignment horizontal="center" vertical="top"/>
    </xf>
    <xf numFmtId="0" fontId="8" fillId="4" borderId="22" xfId="3" applyFont="1" applyBorder="1"/>
    <xf numFmtId="0" fontId="12" fillId="0" borderId="0" xfId="0" applyFont="1" applyAlignment="1">
      <alignment horizontal="right"/>
    </xf>
    <xf numFmtId="1" fontId="12" fillId="0" borderId="0" xfId="0" applyNumberFormat="1" applyFont="1" applyAlignment="1">
      <alignment horizontal="right"/>
    </xf>
    <xf numFmtId="0" fontId="12" fillId="0" borderId="0" xfId="0" applyNumberFormat="1" applyFont="1" applyAlignment="1">
      <alignment horizontal="right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0" fontId="24" fillId="0" borderId="0" xfId="0" applyFont="1" applyAlignment="1">
      <alignment horizontal="right"/>
    </xf>
    <xf numFmtId="0" fontId="24" fillId="0" borderId="0" xfId="0" applyNumberFormat="1" applyFont="1" applyAlignment="1">
      <alignment horizontal="right"/>
    </xf>
    <xf numFmtId="1" fontId="24" fillId="0" borderId="0" xfId="0" applyNumberFormat="1" applyFont="1" applyAlignment="1">
      <alignment horizontal="right"/>
    </xf>
    <xf numFmtId="0" fontId="25" fillId="0" borderId="0" xfId="10"/>
    <xf numFmtId="0" fontId="24" fillId="0" borderId="0" xfId="0" applyFont="1"/>
    <xf numFmtId="0" fontId="0" fillId="19" borderId="37" xfId="0" applyNumberFormat="1" applyFont="1" applyFill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0" fillId="0" borderId="0" xfId="0" applyNumberFormat="1" applyBorder="1" applyAlignment="1">
      <alignment horizontal="right"/>
    </xf>
    <xf numFmtId="0" fontId="3" fillId="0" borderId="0" xfId="4" applyFill="1" applyBorder="1" applyAlignment="1">
      <alignment horizontal="right"/>
    </xf>
    <xf numFmtId="0" fontId="0" fillId="0" borderId="0" xfId="0" applyFont="1"/>
    <xf numFmtId="0" fontId="15" fillId="0" borderId="0" xfId="6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left" vertical="top" wrapText="1" indent="1"/>
    </xf>
    <xf numFmtId="0" fontId="0" fillId="0" borderId="14" xfId="0" applyBorder="1" applyAlignment="1">
      <alignment horizontal="left" vertical="top" wrapText="1" indent="1"/>
    </xf>
    <xf numFmtId="0" fontId="0" fillId="0" borderId="11" xfId="0" applyBorder="1" applyAlignment="1">
      <alignment horizontal="left" vertical="top" wrapText="1" indent="1"/>
    </xf>
    <xf numFmtId="0" fontId="0" fillId="0" borderId="12" xfId="0" applyBorder="1" applyAlignment="1">
      <alignment horizontal="left" vertical="top" wrapText="1" indent="1"/>
    </xf>
    <xf numFmtId="0" fontId="0" fillId="0" borderId="15" xfId="0" applyBorder="1" applyAlignment="1">
      <alignment horizontal="left" vertical="top" wrapText="1" indent="1"/>
    </xf>
    <xf numFmtId="0" fontId="0" fillId="0" borderId="16" xfId="0" applyBorder="1" applyAlignment="1">
      <alignment horizontal="left" vertical="top" wrapText="1" inden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27" xfId="0" applyFont="1" applyBorder="1" applyAlignment="1">
      <alignment textRotation="90" wrapText="1"/>
    </xf>
    <xf numFmtId="0" fontId="0" fillId="0" borderId="29" xfId="0" applyBorder="1" applyAlignment="1">
      <alignment textRotation="90" wrapText="1"/>
    </xf>
    <xf numFmtId="0" fontId="0" fillId="0" borderId="30" xfId="0" applyBorder="1" applyAlignment="1">
      <alignment textRotation="90" wrapText="1"/>
    </xf>
    <xf numFmtId="0" fontId="0" fillId="11" borderId="4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1">
    <cellStyle name="Bad" xfId="8" builtinId="27"/>
    <cellStyle name="Calculation" xfId="5" builtinId="22"/>
    <cellStyle name="Good" xfId="9" builtinId="26"/>
    <cellStyle name="Heading 2" xfId="1" builtinId="17"/>
    <cellStyle name="Heading 4" xfId="7" builtinId="19"/>
    <cellStyle name="Hyperlink" xfId="10" builtinId="8"/>
    <cellStyle name="Input" xfId="2" builtinId="20"/>
    <cellStyle name="Neutral" xfId="3" builtinId="28"/>
    <cellStyle name="Normal" xfId="0" builtinId="0"/>
    <cellStyle name="Normal 2" xfId="4" xr:uid="{00000000-0005-0000-0000-000009000000}"/>
    <cellStyle name="Title" xfId="6" builtinId="15"/>
  </cellStyles>
  <dxfs count="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4"/>
          <bgColor rgb="FFFFEB9C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" dropStyle="combo" dx="16" fmlaLink="UIoptions!$N$31" fmlaRange="UIoptions!$M$29:$M$30" noThreeD="1" sel="1" val="0"/>
</file>

<file path=xl/ctrlProps/ctrlProp2.xml><?xml version="1.0" encoding="utf-8"?>
<formControlPr xmlns="http://schemas.microsoft.com/office/spreadsheetml/2009/9/main" objectType="Drop" dropLines="2" dropStyle="combo" dx="16" fmlaLink="UIoptions!$N$35" fmlaRange="UIoptions!$M$33:$M$34" noThreeD="1" sel="1" val="0"/>
</file>

<file path=xl/ctrlProps/ctrlProp3.xml><?xml version="1.0" encoding="utf-8"?>
<formControlPr xmlns="http://schemas.microsoft.com/office/spreadsheetml/2009/9/main" objectType="Drop" dropLines="12" dropStyle="combo" dx="16" fmlaLink="UIoptions!$N$75" fmlaRange="UIoptions!$M$37:$M$47" noThreeD="1" sel="1" val="0"/>
</file>

<file path=xl/ctrlProps/ctrlProp4.xml><?xml version="1.0" encoding="utf-8"?>
<formControlPr xmlns="http://schemas.microsoft.com/office/spreadsheetml/2009/9/main" objectType="Drop" dropLines="2" dropStyle="combo" dx="16" fmlaLink="UIoptions!$N$22" fmlaRange="UIoptions!$M$20:$M$21" noThreeD="1" sel="1" val="0"/>
</file>

<file path=xl/ctrlProps/ctrlProp5.xml><?xml version="1.0" encoding="utf-8"?>
<formControlPr xmlns="http://schemas.microsoft.com/office/spreadsheetml/2009/9/main" objectType="Drop" dropLines="20" dropStyle="combo" dx="16" fmlaLink="UIoptions!$T$21" fmlaRange="MotorManufacturersTxt" noThreeD="1" sel="5" val="2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Lines="20" dropStyle="combo" dx="16" fmlaLink="UIoptions!$T$22" fmlaRange="MotorModelsTxt" noThreeD="1" sel="14" val="9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16" fmlaLink="UIoptions!$C$35" fmlaRange="UIoptions!$B$36:$B$38" noThreeD="1" sel="3" val="0"/>
</file>

<file path=xl/ctrlProps/ctrlProp11.xml><?xml version="1.0" encoding="utf-8"?>
<formControlPr xmlns="http://schemas.microsoft.com/office/spreadsheetml/2009/9/main" objectType="Drop" dropStyle="combo" dx="16" fmlaLink="UIoptions!$C$41" fmlaRange="UIoptions!$B$42:$B$43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4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28575</xdr:rowOff>
        </xdr:from>
        <xdr:to>
          <xdr:col>4</xdr:col>
          <xdr:colOff>238125</xdr:colOff>
          <xdr:row>7</xdr:row>
          <xdr:rowOff>28575</xdr:rowOff>
        </xdr:to>
        <xdr:sp macro="" textlink="">
          <xdr:nvSpPr>
            <xdr:cNvPr id="8196" name="DropDownUnits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28575</xdr:rowOff>
        </xdr:from>
        <xdr:to>
          <xdr:col>4</xdr:col>
          <xdr:colOff>238125</xdr:colOff>
          <xdr:row>8</xdr:row>
          <xdr:rowOff>28575</xdr:rowOff>
        </xdr:to>
        <xdr:sp macro="" textlink="">
          <xdr:nvSpPr>
            <xdr:cNvPr id="8198" name="Drop Dow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238125</xdr:colOff>
          <xdr:row>20</xdr:row>
          <xdr:rowOff>28575</xdr:rowOff>
        </xdr:to>
        <xdr:sp macro="" textlink="">
          <xdr:nvSpPr>
            <xdr:cNvPr id="8203" name="Drop Down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0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201704</xdr:colOff>
      <xdr:row>15</xdr:row>
      <xdr:rowOff>239963</xdr:rowOff>
    </xdr:from>
    <xdr:to>
      <xdr:col>6</xdr:col>
      <xdr:colOff>1482090</xdr:colOff>
      <xdr:row>22</xdr:row>
      <xdr:rowOff>79297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8086" y="4498198"/>
          <a:ext cx="1280386" cy="1352128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39</xdr:row>
      <xdr:rowOff>17138</xdr:rowOff>
    </xdr:from>
    <xdr:to>
      <xdr:col>6</xdr:col>
      <xdr:colOff>1184064</xdr:colOff>
      <xdr:row>43</xdr:row>
      <xdr:rowOff>153429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3300" y="7322813"/>
          <a:ext cx="924984" cy="898291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39</xdr:row>
      <xdr:rowOff>123825</xdr:rowOff>
    </xdr:from>
    <xdr:to>
      <xdr:col>4</xdr:col>
      <xdr:colOff>224281</xdr:colOff>
      <xdr:row>43</xdr:row>
      <xdr:rowOff>79141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4075" y="7429500"/>
          <a:ext cx="738631" cy="717316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40</xdr:row>
      <xdr:rowOff>38483</xdr:rowOff>
    </xdr:from>
    <xdr:to>
      <xdr:col>1</xdr:col>
      <xdr:colOff>1028700</xdr:colOff>
      <xdr:row>43</xdr:row>
      <xdr:rowOff>33422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4850" y="7534658"/>
          <a:ext cx="571500" cy="5550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1466850</xdr:colOff>
          <xdr:row>10</xdr:row>
          <xdr:rowOff>28575</xdr:rowOff>
        </xdr:to>
        <xdr:sp macro="" textlink="">
          <xdr:nvSpPr>
            <xdr:cNvPr id="8207" name="Drop Dow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0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219075</xdr:rowOff>
        </xdr:from>
        <xdr:to>
          <xdr:col>1</xdr:col>
          <xdr:colOff>1552575</xdr:colOff>
          <xdr:row>4</xdr:row>
          <xdr:rowOff>200025</xdr:rowOff>
        </xdr:to>
        <xdr:sp macro="" textlink="">
          <xdr:nvSpPr>
            <xdr:cNvPr id="8208" name="Drop Down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0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3</xdr:row>
          <xdr:rowOff>219075</xdr:rowOff>
        </xdr:from>
        <xdr:to>
          <xdr:col>6</xdr:col>
          <xdr:colOff>1409700</xdr:colOff>
          <xdr:row>4</xdr:row>
          <xdr:rowOff>190500</xdr:rowOff>
        </xdr:to>
        <xdr:sp macro="" textlink="">
          <xdr:nvSpPr>
            <xdr:cNvPr id="8209" name="fhf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0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LOAD MOTOR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152402</xdr:colOff>
      <xdr:row>25</xdr:row>
      <xdr:rowOff>85725</xdr:rowOff>
    </xdr:from>
    <xdr:to>
      <xdr:col>6</xdr:col>
      <xdr:colOff>1253741</xdr:colOff>
      <xdr:row>29</xdr:row>
      <xdr:rowOff>111006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24227" y="4810125"/>
          <a:ext cx="1097529" cy="772041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285753</xdr:colOff>
      <xdr:row>25</xdr:row>
      <xdr:rowOff>123825</xdr:rowOff>
    </xdr:from>
    <xdr:to>
      <xdr:col>4</xdr:col>
      <xdr:colOff>305365</xdr:colOff>
      <xdr:row>28</xdr:row>
      <xdr:rowOff>156725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90728" y="4848225"/>
          <a:ext cx="867337" cy="610116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466728</xdr:colOff>
      <xdr:row>26</xdr:row>
      <xdr:rowOff>38100</xdr:rowOff>
    </xdr:from>
    <xdr:to>
      <xdr:col>1</xdr:col>
      <xdr:colOff>1107889</xdr:colOff>
      <xdr:row>28</xdr:row>
      <xdr:rowOff>114816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8" y="4953000"/>
          <a:ext cx="650686" cy="45771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219075</xdr:rowOff>
        </xdr:from>
        <xdr:to>
          <xdr:col>6</xdr:col>
          <xdr:colOff>180975</xdr:colOff>
          <xdr:row>4</xdr:row>
          <xdr:rowOff>200025</xdr:rowOff>
        </xdr:to>
        <xdr:sp macro="" textlink="">
          <xdr:nvSpPr>
            <xdr:cNvPr id="8210" name="Drop Dow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0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78442</xdr:colOff>
      <xdr:row>0</xdr:row>
      <xdr:rowOff>78444</xdr:rowOff>
    </xdr:from>
    <xdr:to>
      <xdr:col>3</xdr:col>
      <xdr:colOff>34290</xdr:colOff>
      <xdr:row>0</xdr:row>
      <xdr:rowOff>499717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042" y="78444"/>
          <a:ext cx="1693208" cy="421273"/>
        </a:xfrm>
        <a:prstGeom prst="rect">
          <a:avLst/>
        </a:prstGeom>
      </xdr:spPr>
    </xdr:pic>
    <xdr:clientData/>
  </xdr:twoCellAnchor>
  <xdr:twoCellAnchor>
    <xdr:from>
      <xdr:col>7</xdr:col>
      <xdr:colOff>515469</xdr:colOff>
      <xdr:row>0</xdr:row>
      <xdr:rowOff>22410</xdr:rowOff>
    </xdr:from>
    <xdr:to>
      <xdr:col>10</xdr:col>
      <xdr:colOff>56030</xdr:colOff>
      <xdr:row>0</xdr:row>
      <xdr:rowOff>459441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356410" y="22410"/>
          <a:ext cx="1434355" cy="43703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Tool  1.0.5</a:t>
          </a:r>
          <a:endParaRPr lang="sv-SE" sz="1100" baseline="0"/>
        </a:p>
      </xdr:txBody>
    </xdr:sp>
    <xdr:clientData/>
  </xdr:twoCellAnchor>
  <xdr:twoCellAnchor editAs="oneCell">
    <xdr:from>
      <xdr:col>6</xdr:col>
      <xdr:colOff>14570</xdr:colOff>
      <xdr:row>9</xdr:row>
      <xdr:rowOff>132223</xdr:rowOff>
    </xdr:from>
    <xdr:to>
      <xdr:col>6</xdr:col>
      <xdr:colOff>1558290</xdr:colOff>
      <xdr:row>15</xdr:row>
      <xdr:rowOff>233322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7910" y="3210703"/>
          <a:ext cx="1538005" cy="1198379"/>
        </a:xfrm>
        <a:prstGeom prst="rect">
          <a:avLst/>
        </a:prstGeom>
      </xdr:spPr>
    </xdr:pic>
    <xdr:clientData/>
  </xdr:twoCellAnchor>
  <xdr:twoCellAnchor editAs="oneCell">
    <xdr:from>
      <xdr:col>6</xdr:col>
      <xdr:colOff>207868</xdr:colOff>
      <xdr:row>5</xdr:row>
      <xdr:rowOff>117995</xdr:rowOff>
    </xdr:from>
    <xdr:to>
      <xdr:col>6</xdr:col>
      <xdr:colOff>1337310</xdr:colOff>
      <xdr:row>9</xdr:row>
      <xdr:rowOff>147695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0243" y="1975370"/>
          <a:ext cx="1135157" cy="879329"/>
        </a:xfrm>
        <a:prstGeom prst="rect">
          <a:avLst/>
        </a:prstGeom>
      </xdr:spPr>
    </xdr:pic>
    <xdr:clientData/>
  </xdr:twoCellAnchor>
  <xdr:twoCellAnchor editAs="oneCell">
    <xdr:from>
      <xdr:col>1</xdr:col>
      <xdr:colOff>78442</xdr:colOff>
      <xdr:row>0</xdr:row>
      <xdr:rowOff>78444</xdr:rowOff>
    </xdr:from>
    <xdr:to>
      <xdr:col>3</xdr:col>
      <xdr:colOff>34290</xdr:colOff>
      <xdr:row>0</xdr:row>
      <xdr:rowOff>499717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042" y="78444"/>
          <a:ext cx="1693208" cy="4212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95250</xdr:colOff>
      <xdr:row>11</xdr:row>
      <xdr:rowOff>43222</xdr:rowOff>
    </xdr:from>
    <xdr:to>
      <xdr:col>31</xdr:col>
      <xdr:colOff>353786</xdr:colOff>
      <xdr:row>30</xdr:row>
      <xdr:rowOff>108858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6535400" y="3148372"/>
          <a:ext cx="3916136" cy="42375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Todo</a:t>
          </a:r>
        </a:p>
        <a:p>
          <a:r>
            <a:rPr lang="sv-SE" sz="1100"/>
            <a:t>-HELP TAB (MJ)</a:t>
          </a:r>
        </a:p>
        <a:p>
          <a:r>
            <a:rPr lang="sv-SE" sz="1100"/>
            <a:t>-Add</a:t>
          </a:r>
          <a:r>
            <a:rPr lang="sv-SE" sz="1100" baseline="0"/>
            <a:t> motors ( MJ - from Alex work)</a:t>
          </a:r>
        </a:p>
        <a:p>
          <a:r>
            <a:rPr lang="sv-SE" sz="1100" baseline="0"/>
            <a:t>-Criteria update (RH)</a:t>
          </a:r>
        </a:p>
        <a:p>
          <a:r>
            <a:rPr lang="sv-SE" sz="1100" baseline="0"/>
            <a:t>- Some graphics (MJB/Tobbe)</a:t>
          </a:r>
        </a:p>
        <a:p>
          <a:r>
            <a:rPr lang="sv-SE" sz="1100" baseline="0"/>
            <a:t>-Disclaimer legal info etc (???)</a:t>
          </a:r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r>
            <a:rPr lang="sv-SE" sz="1100"/>
            <a:t>- Estetic</a:t>
          </a:r>
          <a:r>
            <a:rPr lang="sv-SE" sz="1100" baseline="0"/>
            <a:t> decision</a:t>
          </a:r>
        </a:p>
        <a:p>
          <a:r>
            <a:rPr lang="sv-SE" sz="1100" baseline="0"/>
            <a:t>Do we allow as standard that the motor is larger than the plate if it can be mounted (bcd fits)?</a:t>
          </a:r>
        </a:p>
        <a:p>
          <a:endParaRPr lang="sv-SE" sz="1100" baseline="0"/>
        </a:p>
        <a:p>
          <a:r>
            <a:rPr lang="sv-SE" sz="1100"/>
            <a:t>- Pull IP65</a:t>
          </a:r>
          <a:r>
            <a:rPr lang="sv-SE" sz="1100" baseline="0"/>
            <a:t> info if a motor match is found (only if it is not IP65)?</a:t>
          </a:r>
        </a:p>
        <a:p>
          <a:endParaRPr lang="sv-SE" sz="1100" baseline="0"/>
        </a:p>
        <a:p>
          <a:r>
            <a:rPr lang="sv-SE" sz="1100" baseline="0"/>
            <a:t>- Mounts with the o-ring out side the screws are still considered to be IP65?</a:t>
          </a:r>
        </a:p>
        <a:p>
          <a:endParaRPr lang="sv-SE" sz="1100" baseline="0"/>
        </a:p>
        <a:p>
          <a:r>
            <a:rPr lang="sv-SE" sz="1100" baseline="0"/>
            <a:t>- All tapped holes motors are based on max M6 screws. Have a note if larger screws are used (probably are going to be very rare)?</a:t>
          </a:r>
          <a:endParaRPr lang="sv-SE" sz="1100"/>
        </a:p>
      </xdr:txBody>
    </xdr:sp>
    <xdr:clientData/>
  </xdr:twoCellAnchor>
  <xdr:twoCellAnchor>
    <xdr:from>
      <xdr:col>1</xdr:col>
      <xdr:colOff>171450</xdr:colOff>
      <xdr:row>2</xdr:row>
      <xdr:rowOff>114300</xdr:rowOff>
    </xdr:from>
    <xdr:to>
      <xdr:col>8</xdr:col>
      <xdr:colOff>628650</xdr:colOff>
      <xdr:row>19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0050" y="495300"/>
          <a:ext cx="4962525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Cells are a bit unorganized</a:t>
          </a:r>
          <a:r>
            <a:rPr lang="sv-SE" sz="1100" baseline="0"/>
            <a:t> since moving them </a:t>
          </a:r>
          <a:r>
            <a:rPr lang="sv-SE" sz="1100" baseline="0">
              <a:solidFill>
                <a:srgbClr val="FF0000"/>
              </a:solidFill>
            </a:rPr>
            <a:t>requires macro changes</a:t>
          </a:r>
          <a:r>
            <a:rPr lang="sv-SE" sz="1100" baseline="0">
              <a:solidFill>
                <a:schemeClr val="dk1"/>
              </a:solidFill>
            </a:rPr>
            <a:t>!</a:t>
          </a:r>
          <a:endParaRPr lang="sv-SE" sz="1100" baseline="0"/>
        </a:p>
        <a:p>
          <a:endParaRPr lang="sv-SE" sz="1100" baseline="0"/>
        </a:p>
        <a:p>
          <a:r>
            <a:rPr lang="sv-SE" sz="1100" baseline="0"/>
            <a:t>Will maybe structure this better in a later version</a:t>
          </a:r>
          <a:endParaRPr lang="sv-S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32</xdr:row>
      <xdr:rowOff>123825</xdr:rowOff>
    </xdr:from>
    <xdr:to>
      <xdr:col>5</xdr:col>
      <xdr:colOff>171450</xdr:colOff>
      <xdr:row>64</xdr:row>
      <xdr:rowOff>85725</xdr:rowOff>
    </xdr:to>
    <xdr:pic>
      <xdr:nvPicPr>
        <xdr:cNvPr id="10672" name="Picture 1">
          <a:extLst>
            <a:ext uri="{FF2B5EF4-FFF2-40B4-BE49-F238E27FC236}">
              <a16:creationId xmlns:a16="http://schemas.microsoft.com/office/drawing/2014/main" id="{00000000-0008-0000-0300-0000B02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010650"/>
          <a:ext cx="2286000" cy="605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66675</xdr:colOff>
      <xdr:row>32</xdr:row>
      <xdr:rowOff>114300</xdr:rowOff>
    </xdr:from>
    <xdr:to>
      <xdr:col>9</xdr:col>
      <xdr:colOff>26670</xdr:colOff>
      <xdr:row>63</xdr:row>
      <xdr:rowOff>66675</xdr:rowOff>
    </xdr:to>
    <xdr:pic>
      <xdr:nvPicPr>
        <xdr:cNvPr id="10673" name="Picture 2">
          <a:extLst>
            <a:ext uri="{FF2B5EF4-FFF2-40B4-BE49-F238E27FC236}">
              <a16:creationId xmlns:a16="http://schemas.microsoft.com/office/drawing/2014/main" id="{00000000-0008-0000-0300-0000B12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8791575"/>
          <a:ext cx="2266950" cy="585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32</xdr:row>
      <xdr:rowOff>123825</xdr:rowOff>
    </xdr:from>
    <xdr:to>
      <xdr:col>13</xdr:col>
      <xdr:colOff>190500</xdr:colOff>
      <xdr:row>65</xdr:row>
      <xdr:rowOff>19050</xdr:rowOff>
    </xdr:to>
    <xdr:pic>
      <xdr:nvPicPr>
        <xdr:cNvPr id="10674" name="Picture 3">
          <a:extLst>
            <a:ext uri="{FF2B5EF4-FFF2-40B4-BE49-F238E27FC236}">
              <a16:creationId xmlns:a16="http://schemas.microsoft.com/office/drawing/2014/main" id="{00000000-0008-0000-0300-0000B22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8801100"/>
          <a:ext cx="2276475" cy="618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0</xdr:row>
      <xdr:rowOff>57149</xdr:rowOff>
    </xdr:from>
    <xdr:to>
      <xdr:col>8</xdr:col>
      <xdr:colOff>352425</xdr:colOff>
      <xdr:row>0</xdr:row>
      <xdr:rowOff>2000250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95250" y="57149"/>
          <a:ext cx="5229225" cy="19431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Enter all motor</a:t>
          </a:r>
          <a:r>
            <a:rPr lang="sv-SE" sz="1100" baseline="0"/>
            <a:t> data in the UI tab and then copy the generated line into the a new id in the database. </a:t>
          </a:r>
          <a:r>
            <a:rPr lang="sv-SE" sz="1100" baseline="0">
              <a:solidFill>
                <a:srgbClr val="FF0000"/>
              </a:solidFill>
            </a:rPr>
            <a:t>Be sure to verify that all dimensions are within the guide lines.</a:t>
          </a:r>
        </a:p>
        <a:p>
          <a:endParaRPr lang="sv-SE" sz="1100" baseline="0"/>
        </a:p>
        <a:p>
          <a:r>
            <a:rPr lang="sv-SE" sz="1100" baseline="0">
              <a:solidFill>
                <a:srgbClr val="FF0000"/>
              </a:solidFill>
            </a:rPr>
            <a:t>HOW TO COPY:</a:t>
          </a:r>
        </a:p>
        <a:p>
          <a:r>
            <a:rPr lang="sv-SE" sz="1100" baseline="0"/>
            <a:t>When you paste be sure to</a:t>
          </a:r>
        </a:p>
        <a:p>
          <a:r>
            <a:rPr lang="sv-SE" sz="1100" baseline="0"/>
            <a:t>Right-click and chose </a:t>
          </a:r>
          <a:r>
            <a:rPr lang="sv-SE" sz="1100" b="1" baseline="0"/>
            <a:t>123. </a:t>
          </a:r>
        </a:p>
        <a:p>
          <a:endParaRPr lang="sv-SE" sz="1100" b="1" baseline="0"/>
        </a:p>
        <a:p>
          <a:r>
            <a:rPr lang="sv-SE" sz="1100" b="1" baseline="0">
              <a:solidFill>
                <a:srgbClr val="FF0000"/>
              </a:solidFill>
            </a:rPr>
            <a:t>Otherwise it will paste links to the cells in this sheet and the data will be corrupt the next time.</a:t>
          </a:r>
          <a:endParaRPr lang="sv-SE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12</xdr:col>
      <xdr:colOff>85725</xdr:colOff>
      <xdr:row>0</xdr:row>
      <xdr:rowOff>0</xdr:rowOff>
    </xdr:from>
    <xdr:to>
      <xdr:col>16</xdr:col>
      <xdr:colOff>0</xdr:colOff>
      <xdr:row>11</xdr:row>
      <xdr:rowOff>38100</xdr:rowOff>
    </xdr:to>
    <xdr:pic>
      <xdr:nvPicPr>
        <xdr:cNvPr id="10676" name="Picture 6">
          <a:extLst>
            <a:ext uri="{FF2B5EF4-FFF2-40B4-BE49-F238E27FC236}">
              <a16:creationId xmlns:a16="http://schemas.microsoft.com/office/drawing/2014/main" id="{00000000-0008-0000-0300-0000B42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6725" y="0"/>
          <a:ext cx="2352675" cy="488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809625</xdr:colOff>
      <xdr:row>0</xdr:row>
      <xdr:rowOff>1038225</xdr:rowOff>
    </xdr:from>
    <xdr:to>
      <xdr:col>13</xdr:col>
      <xdr:colOff>152400</xdr:colOff>
      <xdr:row>0</xdr:row>
      <xdr:rowOff>1352550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1733550" y="1038225"/>
          <a:ext cx="7029450" cy="3143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457200</xdr:colOff>
      <xdr:row>66</xdr:row>
      <xdr:rowOff>104775</xdr:rowOff>
    </xdr:from>
    <xdr:to>
      <xdr:col>15</xdr:col>
      <xdr:colOff>245745</xdr:colOff>
      <xdr:row>96</xdr:row>
      <xdr:rowOff>95250</xdr:rowOff>
    </xdr:to>
    <xdr:pic>
      <xdr:nvPicPr>
        <xdr:cNvPr id="10678" name="Picture 13">
          <a:extLst>
            <a:ext uri="{FF2B5EF4-FFF2-40B4-BE49-F238E27FC236}">
              <a16:creationId xmlns:a16="http://schemas.microsoft.com/office/drawing/2014/main" id="{00000000-0008-0000-0300-0000B62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15259050"/>
          <a:ext cx="9982200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590550</xdr:colOff>
      <xdr:row>99</xdr:row>
      <xdr:rowOff>38100</xdr:rowOff>
    </xdr:from>
    <xdr:to>
      <xdr:col>8</xdr:col>
      <xdr:colOff>293370</xdr:colOff>
      <xdr:row>126</xdr:row>
      <xdr:rowOff>66675</xdr:rowOff>
    </xdr:to>
    <xdr:pic>
      <xdr:nvPicPr>
        <xdr:cNvPr id="10679" name="Picture 12">
          <a:extLst>
            <a:ext uri="{FF2B5EF4-FFF2-40B4-BE49-F238E27FC236}">
              <a16:creationId xmlns:a16="http://schemas.microsoft.com/office/drawing/2014/main" id="{00000000-0008-0000-0300-0000B72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1478875"/>
          <a:ext cx="5038725" cy="517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</xdr:row>
      <xdr:rowOff>28576</xdr:rowOff>
    </xdr:from>
    <xdr:to>
      <xdr:col>7</xdr:col>
      <xdr:colOff>323850</xdr:colOff>
      <xdr:row>3</xdr:row>
      <xdr:rowOff>9526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905125" y="2209801"/>
          <a:ext cx="20002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ENTER</a:t>
          </a:r>
          <a:r>
            <a:rPr lang="sv-SE" sz="1100" baseline="0"/>
            <a:t> MOTOR DATA IN TAB "UI" OR LOAD AN ID TO THE LEFT.</a:t>
          </a:r>
          <a:endParaRPr lang="sv-SE" sz="1100"/>
        </a:p>
      </xdr:txBody>
    </xdr:sp>
    <xdr:clientData/>
  </xdr:twoCellAnchor>
  <xdr:twoCellAnchor>
    <xdr:from>
      <xdr:col>13</xdr:col>
      <xdr:colOff>285750</xdr:colOff>
      <xdr:row>12</xdr:row>
      <xdr:rowOff>152400</xdr:rowOff>
    </xdr:from>
    <xdr:to>
      <xdr:col>17</xdr:col>
      <xdr:colOff>304800</xdr:colOff>
      <xdr:row>22</xdr:row>
      <xdr:rowOff>161925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953500" y="5191125"/>
          <a:ext cx="2457450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Logics for</a:t>
          </a:r>
          <a:r>
            <a:rPr lang="sv-SE" sz="1100" baseline="0"/>
            <a:t> selecting correct hole diameter for threaded motors are not correct. need to add logics to handle all plates.</a:t>
          </a:r>
        </a:p>
        <a:p>
          <a:endParaRPr lang="sv-SE" sz="1100" baseline="0"/>
        </a:p>
        <a:p>
          <a:r>
            <a:rPr lang="sv-SE" sz="1100" baseline="0"/>
            <a:t>Does this mix up the strategy of having an H for all motors? Possible to get B2 for PC25 and and B for PC32/40 maybe? </a:t>
          </a:r>
          <a:endParaRPr lang="sv-S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28575</xdr:rowOff>
        </xdr:from>
        <xdr:to>
          <xdr:col>11</xdr:col>
          <xdr:colOff>76200</xdr:colOff>
          <xdr:row>3</xdr:row>
          <xdr:rowOff>0</xdr:rowOff>
        </xdr:to>
        <xdr:sp macro="" textlink="">
          <xdr:nvSpPr>
            <xdr:cNvPr id="6222" name="Load ID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3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LOAD ID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549137</xdr:colOff>
      <xdr:row>2</xdr:row>
      <xdr:rowOff>5798</xdr:rowOff>
    </xdr:from>
    <xdr:to>
      <xdr:col>12</xdr:col>
      <xdr:colOff>762000</xdr:colOff>
      <xdr:row>11</xdr:row>
      <xdr:rowOff>81998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363528" y="403363"/>
          <a:ext cx="432932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sv-SE" sz="1100" baseline="0"/>
        </a:p>
        <a:p>
          <a:r>
            <a:rPr lang="sv-SE" sz="1100" baseline="0"/>
            <a:t>MOTORS THAT WE MIGHT CONSIDER TO ADD</a:t>
          </a:r>
        </a:p>
        <a:p>
          <a:endParaRPr lang="sv-SE" sz="1100" baseline="0"/>
        </a:p>
        <a:p>
          <a:r>
            <a:rPr lang="sv-SE" sz="1100"/>
            <a:t>Beckhoff AM8031-0D020  (id 026)</a:t>
          </a:r>
        </a:p>
        <a:p>
          <a:r>
            <a:rPr lang="sv-S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Rockwell (Allen-Bradley)</a:t>
          </a:r>
          <a:r>
            <a:rPr lang="sv-SE"/>
            <a:t>  </a:t>
          </a:r>
          <a:r>
            <a:rPr lang="sv-S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TLY-A1x0xx-Hx6xAN (NEMA)</a:t>
          </a:r>
          <a:r>
            <a:rPr lang="sv-SE"/>
            <a:t> gängade hål</a:t>
          </a:r>
          <a:endParaRPr lang="sv-SE" sz="1100"/>
        </a:p>
        <a:p>
          <a:r>
            <a:rPr lang="sv-SE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B&amp;R automation 8LVA1 (088)</a:t>
          </a:r>
        </a:p>
        <a:p>
          <a:r>
            <a:rPr lang="sv-SE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Control Techniques   Frame size 75   75U2B300BACAA075140 (089)</a:t>
          </a:r>
        </a:p>
        <a:p>
          <a:endParaRPr lang="sv-SE" sz="1100" b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1181100</xdr:colOff>
          <xdr:row>2</xdr:row>
          <xdr:rowOff>76200</xdr:rowOff>
        </xdr:from>
        <xdr:to>
          <xdr:col>6</xdr:col>
          <xdr:colOff>161925</xdr:colOff>
          <xdr:row>9</xdr:row>
          <xdr:rowOff>104775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4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UPDATE MOTOR CROSREF</a:t>
              </a:r>
            </a:p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Press this button after adding a new motor!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136072</xdr:colOff>
      <xdr:row>11</xdr:row>
      <xdr:rowOff>163285</xdr:rowOff>
    </xdr:from>
    <xdr:to>
      <xdr:col>23</xdr:col>
      <xdr:colOff>95251</xdr:colOff>
      <xdr:row>17</xdr:row>
      <xdr:rowOff>40821</xdr:rowOff>
    </xdr:to>
    <xdr:sp macro="" textlink="$P$3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4709322" y="2231571"/>
          <a:ext cx="1306286" cy="1020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0547CC4-F5B6-4854-8E53-02213F2C3EE5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Your motor fits!
PLATE ???
C = 52 mm</a:t>
          </a:fld>
          <a:endParaRPr lang="sv-SE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1</xdr:row>
      <xdr:rowOff>0</xdr:rowOff>
    </xdr:from>
    <xdr:to>
      <xdr:col>8</xdr:col>
      <xdr:colOff>19050</xdr:colOff>
      <xdr:row>14</xdr:row>
      <xdr:rowOff>104775</xdr:rowOff>
    </xdr:to>
    <xdr:pic>
      <xdr:nvPicPr>
        <xdr:cNvPr id="12308" name="Picture 2">
          <a:extLst>
            <a:ext uri="{FF2B5EF4-FFF2-40B4-BE49-F238E27FC236}">
              <a16:creationId xmlns:a16="http://schemas.microsoft.com/office/drawing/2014/main" id="{00000000-0008-0000-0600-00001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90500"/>
          <a:ext cx="7505700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409575</xdr:colOff>
      <xdr:row>0</xdr:row>
      <xdr:rowOff>152400</xdr:rowOff>
    </xdr:from>
    <xdr:to>
      <xdr:col>16</xdr:col>
      <xdr:colOff>266700</xdr:colOff>
      <xdr:row>17</xdr:row>
      <xdr:rowOff>19050</xdr:rowOff>
    </xdr:to>
    <xdr:pic>
      <xdr:nvPicPr>
        <xdr:cNvPr id="12309" name="Picture 3">
          <a:extLst>
            <a:ext uri="{FF2B5EF4-FFF2-40B4-BE49-F238E27FC236}">
              <a16:creationId xmlns:a16="http://schemas.microsoft.com/office/drawing/2014/main" id="{00000000-0008-0000-0600-00001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152400"/>
          <a:ext cx="525780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228600</xdr:colOff>
      <xdr:row>0</xdr:row>
      <xdr:rowOff>76200</xdr:rowOff>
    </xdr:from>
    <xdr:to>
      <xdr:col>27</xdr:col>
      <xdr:colOff>28575</xdr:colOff>
      <xdr:row>17</xdr:row>
      <xdr:rowOff>142875</xdr:rowOff>
    </xdr:to>
    <xdr:pic>
      <xdr:nvPicPr>
        <xdr:cNvPr id="12310" name="Picture 4">
          <a:extLst>
            <a:ext uri="{FF2B5EF4-FFF2-40B4-BE49-F238E27FC236}">
              <a16:creationId xmlns:a16="http://schemas.microsoft.com/office/drawing/2014/main" id="{00000000-0008-0000-0600-00001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0825" y="76200"/>
          <a:ext cx="603885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18</xdr:row>
      <xdr:rowOff>171450</xdr:rowOff>
    </xdr:from>
    <xdr:to>
      <xdr:col>6</xdr:col>
      <xdr:colOff>95250</xdr:colOff>
      <xdr:row>23</xdr:row>
      <xdr:rowOff>19050</xdr:rowOff>
    </xdr:to>
    <xdr:pic>
      <xdr:nvPicPr>
        <xdr:cNvPr id="12311" name="Picture 5">
          <a:extLst>
            <a:ext uri="{FF2B5EF4-FFF2-40B4-BE49-F238E27FC236}">
              <a16:creationId xmlns:a16="http://schemas.microsoft.com/office/drawing/2014/main" id="{00000000-0008-0000-0600-00001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648075"/>
          <a:ext cx="5943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5</xdr:row>
      <xdr:rowOff>38100</xdr:rowOff>
    </xdr:from>
    <xdr:to>
      <xdr:col>14</xdr:col>
      <xdr:colOff>66675</xdr:colOff>
      <xdr:row>11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5448300" y="990600"/>
          <a:ext cx="431482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Table</a:t>
          </a:r>
          <a:r>
            <a:rPr lang="sv-SE" sz="1100" baseline="0"/>
            <a:t> contains all motor manufacturers.</a:t>
          </a:r>
        </a:p>
        <a:p>
          <a:endParaRPr lang="sv-SE" sz="1100" baseline="0"/>
        </a:p>
        <a:p>
          <a:r>
            <a:rPr lang="sv-SE" sz="1100" baseline="0"/>
            <a:t>Table MUST:</a:t>
          </a:r>
        </a:p>
        <a:p>
          <a:endParaRPr lang="sv-SE" sz="1100" baseline="0"/>
        </a:p>
        <a:p>
          <a:r>
            <a:rPr lang="sv-S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have all duplicates removed</a:t>
          </a:r>
          <a:endParaRPr lang="sv-SE" sz="1100" baseline="0"/>
        </a:p>
        <a:p>
          <a:r>
            <a:rPr lang="sv-SE" sz="1100" baseline="0"/>
            <a:t>- Sorted in ascending order</a:t>
          </a:r>
        </a:p>
        <a:p>
          <a:endParaRPr lang="sv-SE" sz="1100"/>
        </a:p>
      </xdr:txBody>
    </xdr:sp>
    <xdr:clientData/>
  </xdr:twoCellAnchor>
  <xdr:twoCellAnchor>
    <xdr:from>
      <xdr:col>0</xdr:col>
      <xdr:colOff>514349</xdr:colOff>
      <xdr:row>1</xdr:row>
      <xdr:rowOff>114300</xdr:rowOff>
    </xdr:from>
    <xdr:to>
      <xdr:col>7</xdr:col>
      <xdr:colOff>438150</xdr:colOff>
      <xdr:row>20</xdr:row>
      <xdr:rowOff>152399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514349" y="304800"/>
          <a:ext cx="5619751" cy="3657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2400">
              <a:solidFill>
                <a:srgbClr val="FF0000"/>
              </a:solidFill>
            </a:rPr>
            <a:t>DON'T</a:t>
          </a:r>
          <a:r>
            <a:rPr lang="sv-SE" sz="2400" baseline="0">
              <a:solidFill>
                <a:srgbClr val="FF0000"/>
              </a:solidFill>
            </a:rPr>
            <a:t> CHANGE ANYTHING HERE!</a:t>
          </a:r>
        </a:p>
        <a:p>
          <a:endParaRPr lang="sv-SE" sz="1100" baseline="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</xdr:row>
      <xdr:rowOff>38100</xdr:rowOff>
    </xdr:from>
    <xdr:to>
      <xdr:col>13</xdr:col>
      <xdr:colOff>353786</xdr:colOff>
      <xdr:row>24</xdr:row>
      <xdr:rowOff>84686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7505700" y="419100"/>
          <a:ext cx="3916136" cy="42375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Todo</a:t>
          </a:r>
        </a:p>
        <a:p>
          <a:endParaRPr lang="sv-SE" sz="1100" baseline="0"/>
        </a:p>
        <a:p>
          <a:r>
            <a:rPr lang="sv-SE" sz="1100" baseline="0"/>
            <a:t>- Imperial threads</a:t>
          </a:r>
          <a:endParaRPr lang="sv-SE" sz="1100"/>
        </a:p>
        <a:p>
          <a:r>
            <a:rPr lang="sv-SE" sz="1100"/>
            <a:t>-HELP TAB (MJ)</a:t>
          </a:r>
        </a:p>
        <a:p>
          <a:r>
            <a:rPr lang="sv-SE" sz="1100" baseline="0"/>
            <a:t>-Criteria update (RH) -done for metric</a:t>
          </a:r>
        </a:p>
        <a:p>
          <a:r>
            <a:rPr lang="sv-SE" sz="1100" baseline="0"/>
            <a:t>- Some graphics (MJB/Tobbe) -done</a:t>
          </a:r>
        </a:p>
        <a:p>
          <a:r>
            <a:rPr lang="sv-SE" sz="1100" baseline="0"/>
            <a:t>-Disclaimer legal info etc (???)</a:t>
          </a:r>
        </a:p>
        <a:p>
          <a:endParaRPr lang="sv-SE" sz="1100" baseline="0"/>
        </a:p>
        <a:p>
          <a:r>
            <a:rPr lang="sv-SE" sz="1100"/>
            <a:t>- Not</a:t>
          </a:r>
          <a:r>
            <a:rPr lang="sv-SE" sz="1100" baseline="0"/>
            <a:t> hit if a motor id has 3 holes/screws</a:t>
          </a:r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endParaRPr lang="sv-SE" sz="1100"/>
        </a:p>
        <a:p>
          <a:r>
            <a:rPr lang="sv-SE" sz="1100"/>
            <a:t>- Esthetic</a:t>
          </a:r>
          <a:r>
            <a:rPr lang="sv-SE" sz="1100" baseline="0"/>
            <a:t> decision</a:t>
          </a:r>
        </a:p>
        <a:p>
          <a:r>
            <a:rPr lang="sv-SE" sz="1100" baseline="0"/>
            <a:t>Do we allow as standard that the motor is larger than the plate if it can be mounted (bcd fits)?</a:t>
          </a:r>
        </a:p>
        <a:p>
          <a:endParaRPr lang="sv-SE" sz="1100" baseline="0"/>
        </a:p>
        <a:p>
          <a:r>
            <a:rPr lang="sv-SE" sz="1100"/>
            <a:t>- Pull IP65</a:t>
          </a:r>
          <a:r>
            <a:rPr lang="sv-SE" sz="1100" baseline="0"/>
            <a:t> info if a motor match is found (only if it is not IP65)?</a:t>
          </a:r>
        </a:p>
        <a:p>
          <a:endParaRPr lang="sv-SE" sz="1100" baseline="0"/>
        </a:p>
        <a:p>
          <a:r>
            <a:rPr lang="sv-SE" sz="1100" baseline="0"/>
            <a:t>- Mounts with the o-ring out side the screws are still considered to be IP65?</a:t>
          </a:r>
        </a:p>
        <a:p>
          <a:endParaRPr lang="sv-SE" sz="1100" baseline="0"/>
        </a:p>
        <a:p>
          <a:r>
            <a:rPr lang="sv-SE" sz="1100" baseline="0"/>
            <a:t>- All tapped holes motors are based on max M6 screws. Have a note if larger screws are used (probably are going to be very rare)?</a:t>
          </a:r>
          <a:endParaRPr lang="sv-SE" sz="1100"/>
        </a:p>
      </xdr:txBody>
    </xdr:sp>
    <xdr:clientData/>
  </xdr:twoCellAnchor>
  <xdr:twoCellAnchor editAs="oneCell">
    <xdr:from>
      <xdr:col>9</xdr:col>
      <xdr:colOff>374680</xdr:colOff>
      <xdr:row>24</xdr:row>
      <xdr:rowOff>0</xdr:rowOff>
    </xdr:from>
    <xdr:to>
      <xdr:col>11</xdr:col>
      <xdr:colOff>469120</xdr:colOff>
      <xdr:row>29</xdr:row>
      <xdr:rowOff>86137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4330" y="4572000"/>
          <a:ext cx="1313640" cy="103863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</xdr:row>
      <xdr:rowOff>3946</xdr:rowOff>
    </xdr:from>
    <xdr:to>
      <xdr:col>9</xdr:col>
      <xdr:colOff>153310</xdr:colOff>
      <xdr:row>29</xdr:row>
      <xdr:rowOff>57939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00850" y="4766446"/>
          <a:ext cx="1982110" cy="81599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1</xdr:row>
      <xdr:rowOff>133350</xdr:rowOff>
    </xdr:from>
    <xdr:to>
      <xdr:col>11</xdr:col>
      <xdr:colOff>85725</xdr:colOff>
      <xdr:row>14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190750" y="323850"/>
          <a:ext cx="460057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Here we</a:t>
          </a:r>
          <a:r>
            <a:rPr lang="sv-SE" sz="1100" baseline="0"/>
            <a:t> should keep track of changes in already released motor ids when the machining parameters are wrong and need to be revised.</a:t>
          </a:r>
          <a:endParaRPr lang="sv-SE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0</xdr:rowOff>
        </xdr:from>
        <xdr:to>
          <xdr:col>2</xdr:col>
          <xdr:colOff>600075</xdr:colOff>
          <xdr:row>4</xdr:row>
          <xdr:rowOff>0</xdr:rowOff>
        </xdr:to>
        <xdr:sp macro="" textlink="">
          <xdr:nvSpPr>
            <xdr:cNvPr id="40961" name="Drop Dow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A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3</xdr:col>
          <xdr:colOff>571500</xdr:colOff>
          <xdr:row>4</xdr:row>
          <xdr:rowOff>0</xdr:rowOff>
        </xdr:to>
        <xdr:sp macro="" textlink="">
          <xdr:nvSpPr>
            <xdr:cNvPr id="40962" name="Drop Down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A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ristensson, Marina" id="{2B6A34F1-6496-4C8B-BECF-F3CA0A090CCF}" userId="S::Marina.Kristensson@altramotion.com::04eedc65-7dda-4a30-a089-4fdbde3a864e" providerId="AD"/>
  <person displayName="Kristensson, Marina" id="{D56BAF05-5DE2-4439-931C-CF107E70820B}" userId="S::Marina.Kristensson@thomsonlinear.com::04eedc65-7dda-4a30-a089-4fdbde3a864e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PCdb" displayName="PCdb" ref="A3:BO335" totalsRowShown="0">
  <autoFilter ref="A3:BO335" xr:uid="{1916CDFA-1240-4FB7-948F-E32E09A20BF9}"/>
  <tableColumns count="67">
    <tableColumn id="1" xr3:uid="{00000000-0010-0000-0000-000001000000}" name="RMID" dataDxfId="70"/>
    <tableColumn id="2" xr3:uid="{00000000-0010-0000-0000-000002000000}" name="BCD" dataDxfId="69"/>
    <tableColumn id="3" xr3:uid="{00000000-0010-0000-0000-000003000000}" name="PD" dataDxfId="68"/>
    <tableColumn id="4" xr3:uid="{00000000-0010-0000-0000-000004000000}" name="PL (MAX)" dataDxfId="67"/>
    <tableColumn id="5" xr3:uid="{00000000-0010-0000-0000-000005000000}" name="SD" dataDxfId="66"/>
    <tableColumn id="6" xr3:uid="{00000000-0010-0000-0000-000006000000}" name="SL" dataDxfId="65"/>
    <tableColumn id="7" xr3:uid="{00000000-0010-0000-0000-000007000000}" name="SQ_SZ" dataDxfId="64"/>
    <tableColumn id="8" xr3:uid="{00000000-0010-0000-0000-000008000000}" name="ROUND_D" dataDxfId="63"/>
    <tableColumn id="9" xr3:uid="{00000000-0010-0000-0000-000009000000}" name="FL" dataDxfId="62"/>
    <tableColumn id="10" xr3:uid="{00000000-0010-0000-0000-00000A000000}" name="THRU_SCREW" dataDxfId="61"/>
    <tableColumn id="32" xr3:uid="{00000000-0010-0000-0000-000020000000}" name="THREAD_SZ" dataDxfId="60"/>
    <tableColumn id="11" xr3:uid="{00000000-0010-0000-0000-00000B000000}" name="THREAD_L" dataDxfId="59"/>
    <tableColumn id="12" xr3:uid="{00000000-0010-0000-0000-00000C000000}" name="NBR_HOLES" dataDxfId="58"/>
    <tableColumn id="25" xr3:uid="{00000000-0010-0000-0000-000019000000}" name="H" dataDxfId="57"/>
    <tableColumn id="26" xr3:uid="{00000000-0010-0000-0000-00001A000000}" name="LC (PC25LX)" dataDxfId="56"/>
    <tableColumn id="27" xr3:uid="{00000000-0010-0000-0000-00001B000000}" name="Rin (PC25LX)" dataDxfId="55"/>
    <tableColumn id="28" xr3:uid="{00000000-0010-0000-0000-00001C000000}" name="L (PC25LX)" dataDxfId="54"/>
    <tableColumn id="29" xr3:uid="{00000000-0010-0000-0000-00001D000000}" name="IP65 (PC25LX)" dataDxfId="53"/>
    <tableColumn id="14" xr3:uid="{00000000-0010-0000-0000-00000E000000}" name="PLATE (PC25LX)" dataDxfId="52"/>
    <tableColumn id="18" xr3:uid="{00000000-0010-0000-0000-000012000000}" name="Beta1 (PC25LX)" dataDxfId="51"/>
    <tableColumn id="21" xr3:uid="{00000000-0010-0000-0000-000015000000}" name="Beta2 (PC25LX)" dataDxfId="50"/>
    <tableColumn id="30" xr3:uid="{00000000-0010-0000-0000-00001E000000}" name="LC (PC32LX)" dataDxfId="49"/>
    <tableColumn id="31" xr3:uid="{00000000-0010-0000-0000-00001F000000}" name="Rin (PC32LX)" dataDxfId="48"/>
    <tableColumn id="33" xr3:uid="{00000000-0010-0000-0000-000021000000}" name="L (PC32LX)" dataDxfId="47"/>
    <tableColumn id="34" xr3:uid="{00000000-0010-0000-0000-000022000000}" name="IP65 (PC32LX)" dataDxfId="46"/>
    <tableColumn id="15" xr3:uid="{00000000-0010-0000-0000-00000F000000}" name="PLATE (PC32LX)" dataDxfId="45"/>
    <tableColumn id="22" xr3:uid="{00000000-0010-0000-0000-000016000000}" name="Beta1 (PC32LX)" dataDxfId="44"/>
    <tableColumn id="23" xr3:uid="{00000000-0010-0000-0000-000017000000}" name="Beta2 (PC32LX)" dataDxfId="43"/>
    <tableColumn id="35" xr3:uid="{00000000-0010-0000-0000-000023000000}" name="LC (PC40LX)" dataDxfId="42"/>
    <tableColumn id="36" xr3:uid="{00000000-0010-0000-0000-000024000000}" name="Rin (PC40LX)" dataDxfId="41"/>
    <tableColumn id="37" xr3:uid="{00000000-0010-0000-0000-000025000000}" name="L (PC40LX)" dataDxfId="40"/>
    <tableColumn id="38" xr3:uid="{00000000-0010-0000-0000-000026000000}" name="IP65 (PC40LX)" dataDxfId="39"/>
    <tableColumn id="16" xr3:uid="{00000000-0010-0000-0000-000010000000}" name="PLATE (PC40LX)" dataDxfId="38"/>
    <tableColumn id="24" xr3:uid="{00000000-0010-0000-0000-000018000000}" name="Beta1 (PC40LX)" dataDxfId="37"/>
    <tableColumn id="48" xr3:uid="{00000000-0010-0000-0000-000030000000}" name="Beta2 (PC40LX)" dataDxfId="36"/>
    <tableColumn id="39" xr3:uid="{00000000-0010-0000-0000-000027000000}" name="Rin (PC25PA)" dataDxfId="35"/>
    <tableColumn id="40" xr3:uid="{00000000-0010-0000-0000-000028000000}" name="L (PC25PA)" dataDxfId="34"/>
    <tableColumn id="41" xr3:uid="{00000000-0010-0000-0000-000029000000}" name="IP65 (PC25PA)" dataDxfId="33"/>
    <tableColumn id="17" xr3:uid="{00000000-0010-0000-0000-000011000000}" name="PLATE (PC25PA)" dataDxfId="32"/>
    <tableColumn id="49" xr3:uid="{00000000-0010-0000-0000-000031000000}" name="Beta1 (PC25PA)" dataDxfId="31"/>
    <tableColumn id="50" xr3:uid="{00000000-0010-0000-0000-000032000000}" name="Beta2 (PC25PA)" dataDxfId="30"/>
    <tableColumn id="42" xr3:uid="{00000000-0010-0000-0000-00002A000000}" name="Rin (PC32PA)" dataDxfId="29"/>
    <tableColumn id="43" xr3:uid="{00000000-0010-0000-0000-00002B000000}" name="L (PC32PA)" dataDxfId="28"/>
    <tableColumn id="44" xr3:uid="{00000000-0010-0000-0000-00002C000000}" name="IP65 (PC32PA)" dataDxfId="27"/>
    <tableColumn id="19" xr3:uid="{00000000-0010-0000-0000-000013000000}" name="PLATE (PC32PA)" dataDxfId="26"/>
    <tableColumn id="52" xr3:uid="{00000000-0010-0000-0000-000034000000}" name="Beta1 (PC32PA)" dataDxfId="25"/>
    <tableColumn id="51" xr3:uid="{00000000-0010-0000-0000-000033000000}" name="Beta2 (PC32PA)" dataDxfId="24"/>
    <tableColumn id="45" xr3:uid="{00000000-0010-0000-0000-00002D000000}" name="Rin (PC40PA)" dataDxfId="23"/>
    <tableColumn id="46" xr3:uid="{00000000-0010-0000-0000-00002E000000}" name="L (PC40PA)" dataDxfId="22"/>
    <tableColumn id="47" xr3:uid="{00000000-0010-0000-0000-00002F000000}" name="IP65 (PC40PA)" dataDxfId="21"/>
    <tableColumn id="13" xr3:uid="{00000000-0010-0000-0000-00000D000000}" name="PLATE (PC40PA)" dataDxfId="20"/>
    <tableColumn id="20" xr3:uid="{00000000-0010-0000-0000-000014000000}" name="Beta1 (PC40PA)" dataDxfId="19"/>
    <tableColumn id="53" xr3:uid="{00000000-0010-0000-0000-000035000000}" name="Beta2 (PC40PA)" dataDxfId="18"/>
    <tableColumn id="54" xr3:uid="{00000000-0010-0000-0000-000036000000}" name="BDhit" dataDxfId="17">
      <calculatedColumnFormula>IF(AND(PCdb[[#This Row],[BCD]]&gt;UIoptions!$S$10,PCdb[[#This Row],[BCD]]&lt;UIoptions!$T$10),1,0)</calculatedColumnFormula>
    </tableColumn>
    <tableColumn id="55" xr3:uid="{00000000-0010-0000-0000-000037000000}" name="PDhit" dataDxfId="16">
      <calculatedColumnFormula>IF(AND(PCdb[[#This Row],[PD]]&gt;UIoptions!$S$11,PCdb[[#This Row],[PD]]&lt;UIoptions!$T$11),1,0)</calculatedColumnFormula>
    </tableColumn>
    <tableColumn id="56" xr3:uid="{00000000-0010-0000-0000-000038000000}" name="PLhit" dataDxfId="15">
      <calculatedColumnFormula>IF(AND(UIoptions!$P$14&lt;=PCdb[[#This Row],[PL (MAX)]],UIoptions!$P$14&gt;UIoptions!$S$14),1,0)</calculatedColumnFormula>
    </tableColumn>
    <tableColumn id="57" xr3:uid="{00000000-0010-0000-0000-000039000000}" name="SDhit" dataDxfId="14">
      <calculatedColumnFormula>IF(AND(PCdb[[#This Row],[SD]]&gt;UIoptions!$S$12,PCdb[[#This Row],[SD]]&lt;UIoptions!$T$12),1,0)</calculatedColumnFormula>
    </tableColumn>
    <tableColumn id="58" xr3:uid="{00000000-0010-0000-0000-00003A000000}" name="SLhit" dataDxfId="13">
      <calculatedColumnFormula>IF(AND(PCdb[[#This Row],[SL]]&gt;UIoptions!$S$13,PCdb[[#This Row],[SL]]&lt;UIoptions!$T$13),1,0)</calculatedColumnFormula>
    </tableColumn>
    <tableColumn id="59" xr3:uid="{00000000-0010-0000-0000-00003B000000}" name="SQhit" dataDxfId="12">
      <calculatedColumnFormula>IF(UIoptions!$N$35=1,IF(AND(PCdb[[#This Row],[SQ_SZ]]&gt;UIoptions!$S$15,PCdb[[#This Row],[SQ_SZ]]&lt;UIoptions!$T$15),1,0),1)</calculatedColumnFormula>
    </tableColumn>
    <tableColumn id="60" xr3:uid="{00000000-0010-0000-0000-00003C000000}" name="ROUNDhit" dataDxfId="11">
      <calculatedColumnFormula>IF(UIoptions!$N$35=2,IF(AND(PCdb[[#This Row],[ROUND_D]]&gt;UIoptions!$S$15,PCdb[[#This Row],[ROUND_D]]&lt;UIoptions!$T$15),1,0),1)</calculatedColumnFormula>
    </tableColumn>
    <tableColumn id="61" xr3:uid="{00000000-0010-0000-0000-00003D000000}" name="FLhit" dataDxfId="10">
      <calculatedColumnFormula>IF(UIoptions!$N$75&lt;&gt;1,1,IF(AND(PCdb[[#This Row],[FL]]&gt;UIoptions!$S$16,PCdb[[#This Row],[FL]]&lt;UIoptions!$T$16),1,0))</calculatedColumnFormula>
    </tableColumn>
    <tableColumn id="62" xr3:uid="{00000000-0010-0000-0000-00003E000000}" name="THRU-SCREWhit" dataDxfId="9">
      <calculatedColumnFormula>IF(OR(UIoptions!$Q$18=PCdb[[#This Row],[THRU_SCREW]],UIoptions!$Q$18="NA"),1,0)</calculatedColumnFormula>
    </tableColumn>
    <tableColumn id="63" xr3:uid="{00000000-0010-0000-0000-00003F000000}" name="THREAD_SZhit" dataDxfId="8">
      <calculatedColumnFormula>IF(OR(UIoptions!$P$19=PCdb[[#This Row],[THREAD_SZ]],UIoptions!$P$19="NA"),1,0)</calculatedColumnFormula>
    </tableColumn>
    <tableColumn id="64" xr3:uid="{00000000-0010-0000-0000-000040000000}" name="THREAD_Lhit" dataDxfId="7">
      <calculatedColumnFormula>IF(UIoptions!$N$75=1,1,IF(AND(PCdb[[#This Row],[THREAD_L]]&gt;UIoptions!$S$17,PCdb[[#This Row],[THREAD_L]]&lt;UIoptions!$T$17),1,0))</calculatedColumnFormula>
    </tableColumn>
    <tableColumn id="65" xr3:uid="{00000000-0010-0000-0000-000041000000}" name="HIT?" dataDxfId="6">
      <calculatedColumnFormula>IF(SUM(#REF!)=11,1,0)</calculatedColumnFormula>
    </tableColumn>
    <tableColumn id="66" xr3:uid="{00000000-0010-0000-0000-000042000000}" name="Validation test" dataDxfId="5">
      <calculatedColumnFormula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calculatedColumnFormula>
    </tableColumn>
    <tableColumn id="67" xr3:uid="{00000000-0010-0000-0000-000043000000}" name="Column1" dataDxfId="4">
      <calculatedColumnFormula>SUM(#REF!)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MotorCrossRef" displayName="TableMotorCrossRef" ref="A1:Q150" totalsRowShown="0" headerRowDxfId="3" headerRowCellStyle="Neutral">
  <autoFilter ref="A1:Q150" xr:uid="{00000000-0009-0000-0100-000003000000}"/>
  <sortState xmlns:xlrd2="http://schemas.microsoft.com/office/spreadsheetml/2017/richdata2" ref="A2:Q150">
    <sortCondition ref="A2:A150"/>
    <sortCondition ref="B2:B150"/>
  </sortState>
  <tableColumns count="17">
    <tableColumn id="1" xr3:uid="{00000000-0010-0000-0100-000001000000}" name="Manufacturer"/>
    <tableColumn id="2" xr3:uid="{00000000-0010-0000-0100-000002000000}" name="Model"/>
    <tableColumn id="3" xr3:uid="{00000000-0010-0000-0100-000003000000}" name="RMID"/>
    <tableColumn id="4" xr3:uid="{00000000-0010-0000-0100-000004000000}" name="BCD"/>
    <tableColumn id="5" xr3:uid="{00000000-0010-0000-0100-000005000000}" name="PD"/>
    <tableColumn id="6" xr3:uid="{00000000-0010-0000-0100-000006000000}" name="PL"/>
    <tableColumn id="7" xr3:uid="{00000000-0010-0000-0100-000007000000}" name="SD"/>
    <tableColumn id="8" xr3:uid="{00000000-0010-0000-0100-000008000000}" name="SL"/>
    <tableColumn id="9" xr3:uid="{00000000-0010-0000-0100-000009000000}" name="SQ_SZ"/>
    <tableColumn id="10" xr3:uid="{00000000-0010-0000-0100-00000A000000}" name="ROUND_D"/>
    <tableColumn id="11" xr3:uid="{00000000-0010-0000-0100-00000B000000}" name="FL"/>
    <tableColumn id="12" xr3:uid="{00000000-0010-0000-0100-00000C000000}" name="THRU_HOLE_D"/>
    <tableColumn id="13" xr3:uid="{00000000-0010-0000-0100-00000D000000}" name="THREAD_SZ"/>
    <tableColumn id="14" xr3:uid="{00000000-0010-0000-0100-00000E000000}" name="THREAD_L"/>
    <tableColumn id="15" xr3:uid="{00000000-0010-0000-0100-00000F000000}" name="NBR_HOLES"/>
    <tableColumn id="16" xr3:uid="{00000000-0010-0000-0100-000010000000}" name="Drawing"/>
    <tableColumn id="17" xr3:uid="{00000000-0010-0000-0100-000011000000}" name="ComboTxt" dataDxfId="2">
      <calculatedColumnFormula>CONCATENATE(TableMotorCrossRef[[#This Row],[Manufacturer]],TableMotorCrossRef[[#This Row],[Model]])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UiMotorManufacturers" displayName="UiMotorManufacturers" ref="A1:A23" totalsRowShown="0" dataDxfId="1">
  <sortState xmlns:xlrd2="http://schemas.microsoft.com/office/spreadsheetml/2017/richdata2" ref="A2:A23">
    <sortCondition ref="A2"/>
  </sortState>
  <tableColumns count="1">
    <tableColumn id="1" xr3:uid="{00000000-0010-0000-0200-000001000000}" name="MotorManufacturer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6" displayName="Table6" ref="C1:C4" totalsRowShown="0">
  <autoFilter ref="C1:C4" xr:uid="{00000000-0009-0000-0100-000006000000}"/>
  <tableColumns count="1">
    <tableColumn id="1" xr3:uid="{00000000-0010-0000-0300-000001000000}" name="MotorModel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Y130" dT="2021-05-11T13:57:16.23" personId="{2B6A34F1-6496-4C8B-BECF-F3CA0A090CCF}" id="{E8AC1CFD-D035-46EF-94B8-C92338423546}">
    <text>Speciel lösning - dubbla plattor i stället för en tjockare enkla platta. Förmodligen kundens önskemål.</text>
  </threadedComment>
  <threadedComment ref="A298" dT="2019-11-14T10:26:55.18" personId="{D56BAF05-5DE2-4439-931C-CF107E70820B}" id="{D067A59A-2590-48C0-B113-A9705B8BAB3C}">
    <text>PLmax=3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customProperty" Target="../customProperty2.bin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customProperty" Target="../customProperty3.bin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7" Type="http://schemas.openxmlformats.org/officeDocument/2006/relationships/comments" Target="../comments1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2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customProperty" Target="../customProperty6.bin"/></Relationships>
</file>

<file path=xl/worksheets/_rels/sheet3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customProperty" Target="../customProperty8.bin"/><Relationship Id="rId7" Type="http://schemas.openxmlformats.org/officeDocument/2006/relationships/comments" Target="../comments2.xml"/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.xml"/><Relationship Id="rId5" Type="http://schemas.openxmlformats.org/officeDocument/2006/relationships/vmlDrawing" Target="../drawings/vmlDrawing3.vml"/><Relationship Id="rId4" Type="http://schemas.openxmlformats.org/officeDocument/2006/relationships/customProperty" Target="../customProperty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2.bin"/><Relationship Id="rId7" Type="http://schemas.openxmlformats.org/officeDocument/2006/relationships/comments" Target="../comments3.xml"/><Relationship Id="rId2" Type="http://schemas.openxmlformats.org/officeDocument/2006/relationships/customProperty" Target="../customProperty11.bin"/><Relationship Id="rId1" Type="http://schemas.openxmlformats.org/officeDocument/2006/relationships/customProperty" Target="../customProperty10.bin"/><Relationship Id="rId6" Type="http://schemas.openxmlformats.org/officeDocument/2006/relationships/ctrlProp" Target="../ctrlProps/ctrlProp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ustomProperty" Target="../customProperty14.bin"/><Relationship Id="rId13" Type="http://schemas.openxmlformats.org/officeDocument/2006/relationships/table" Target="../tables/table2.xml"/><Relationship Id="rId3" Type="http://schemas.openxmlformats.org/officeDocument/2006/relationships/hyperlink" Target="http://www.thomsonlinear.com/downloads/gearheads/True_Planetary_Gearheads_cten.pdf" TargetMode="External"/><Relationship Id="rId7" Type="http://schemas.openxmlformats.org/officeDocument/2006/relationships/customProperty" Target="../customProperty13.bin"/><Relationship Id="rId12" Type="http://schemas.openxmlformats.org/officeDocument/2006/relationships/ctrlProp" Target="../ctrlProps/ctrlProp9.xml"/><Relationship Id="rId2" Type="http://schemas.openxmlformats.org/officeDocument/2006/relationships/hyperlink" Target="http://www.thomsonlinear.com/downloads/gearheads/True_Planetary_Gearheads_cten.pdf" TargetMode="External"/><Relationship Id="rId1" Type="http://schemas.openxmlformats.org/officeDocument/2006/relationships/hyperlink" Target="http://www.thomsonlinear.com/downloads/gearheads/True_Planetary_Gearheads_cten.pdf" TargetMode="External"/><Relationship Id="rId6" Type="http://schemas.openxmlformats.org/officeDocument/2006/relationships/printerSettings" Target="../printerSettings/printerSettings4.bin"/><Relationship Id="rId11" Type="http://schemas.openxmlformats.org/officeDocument/2006/relationships/vmlDrawing" Target="../drawings/vmlDrawing5.vml"/><Relationship Id="rId5" Type="http://schemas.openxmlformats.org/officeDocument/2006/relationships/hyperlink" Target="https://www.teknic.com/files/downloads/clearpath_user_manual.pdf,%20sid%2099" TargetMode="External"/><Relationship Id="rId10" Type="http://schemas.openxmlformats.org/officeDocument/2006/relationships/drawing" Target="../drawings/drawing4.xml"/><Relationship Id="rId4" Type="http://schemas.openxmlformats.org/officeDocument/2006/relationships/hyperlink" Target="http://www.thomsonlinear.com/downloads/gearheads/True_Planetary_Gearheads_cten.pdf" TargetMode="External"/><Relationship Id="rId9" Type="http://schemas.openxmlformats.org/officeDocument/2006/relationships/customProperty" Target="../customProperty15.bin"/><Relationship Id="rId1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7.bin"/><Relationship Id="rId7" Type="http://schemas.openxmlformats.org/officeDocument/2006/relationships/comments" Target="../comments5.xml"/><Relationship Id="rId2" Type="http://schemas.openxmlformats.org/officeDocument/2006/relationships/customProperty" Target="../customProperty16.bin"/><Relationship Id="rId1" Type="http://schemas.openxmlformats.org/officeDocument/2006/relationships/printerSettings" Target="../printerSettings/printerSettings5.bin"/><Relationship Id="rId6" Type="http://schemas.openxmlformats.org/officeDocument/2006/relationships/vmlDrawing" Target="../drawings/vmlDrawing6.vml"/><Relationship Id="rId5" Type="http://schemas.openxmlformats.org/officeDocument/2006/relationships/drawing" Target="../drawings/drawing5.xml"/><Relationship Id="rId4" Type="http://schemas.openxmlformats.org/officeDocument/2006/relationships/customProperty" Target="../customProperty1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0.bin"/><Relationship Id="rId2" Type="http://schemas.openxmlformats.org/officeDocument/2006/relationships/customProperty" Target="../customProperty19.bin"/><Relationship Id="rId1" Type="http://schemas.openxmlformats.org/officeDocument/2006/relationships/printerSettings" Target="../printerSettings/printerSettings6.bin"/><Relationship Id="rId5" Type="http://schemas.openxmlformats.org/officeDocument/2006/relationships/drawing" Target="../drawings/drawing6.xml"/><Relationship Id="rId4" Type="http://schemas.openxmlformats.org/officeDocument/2006/relationships/customProperty" Target="../customProperty2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3.bin"/><Relationship Id="rId7" Type="http://schemas.openxmlformats.org/officeDocument/2006/relationships/table" Target="../tables/table4.xml"/><Relationship Id="rId2" Type="http://schemas.openxmlformats.org/officeDocument/2006/relationships/customProperty" Target="../customProperty22.bin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3.xml"/><Relationship Id="rId5" Type="http://schemas.openxmlformats.org/officeDocument/2006/relationships/drawing" Target="../drawings/drawing7.xml"/><Relationship Id="rId4" Type="http://schemas.openxmlformats.org/officeDocument/2006/relationships/customProperty" Target="../customProperty2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7.bin"/><Relationship Id="rId2" Type="http://schemas.openxmlformats.org/officeDocument/2006/relationships/customProperty" Target="../customProperty26.bin"/><Relationship Id="rId1" Type="http://schemas.openxmlformats.org/officeDocument/2006/relationships/customProperty" Target="../customProperty25.bin"/><Relationship Id="rId6" Type="http://schemas.openxmlformats.org/officeDocument/2006/relationships/comments" Target="../comments6.xml"/><Relationship Id="rId5" Type="http://schemas.openxmlformats.org/officeDocument/2006/relationships/vmlDrawing" Target="../drawings/vmlDrawing7.vml"/><Relationship Id="rId4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0.bin"/><Relationship Id="rId2" Type="http://schemas.openxmlformats.org/officeDocument/2006/relationships/customProperty" Target="../customProperty29.bin"/><Relationship Id="rId1" Type="http://schemas.openxmlformats.org/officeDocument/2006/relationships/customProperty" Target="../customProperty28.bin"/><Relationship Id="rId4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ustomProperty" Target="../customProperty32.bin"/><Relationship Id="rId7" Type="http://schemas.openxmlformats.org/officeDocument/2006/relationships/ctrlProp" Target="../ctrlProps/ctrlProp10.xml"/><Relationship Id="rId2" Type="http://schemas.openxmlformats.org/officeDocument/2006/relationships/customProperty" Target="../customProperty31.bin"/><Relationship Id="rId1" Type="http://schemas.openxmlformats.org/officeDocument/2006/relationships/printerSettings" Target="../printerSettings/printerSettings8.bin"/><Relationship Id="rId6" Type="http://schemas.openxmlformats.org/officeDocument/2006/relationships/vmlDrawing" Target="../drawings/vmlDrawing8.vml"/><Relationship Id="rId5" Type="http://schemas.openxmlformats.org/officeDocument/2006/relationships/drawing" Target="../drawings/drawing10.xml"/><Relationship Id="rId4" Type="http://schemas.openxmlformats.org/officeDocument/2006/relationships/customProperty" Target="../customProperty3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6.bin"/><Relationship Id="rId2" Type="http://schemas.openxmlformats.org/officeDocument/2006/relationships/customProperty" Target="../customProperty35.bin"/><Relationship Id="rId1" Type="http://schemas.openxmlformats.org/officeDocument/2006/relationships/customProperty" Target="../customProperty3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7"/>
  <sheetViews>
    <sheetView showGridLines="0" tabSelected="1" showWhiteSpace="0" zoomScale="85" zoomScaleNormal="85" workbookViewId="0">
      <selection activeCell="D11" sqref="D11"/>
    </sheetView>
  </sheetViews>
  <sheetFormatPr defaultColWidth="9.140625" defaultRowHeight="15" x14ac:dyDescent="0.25"/>
  <cols>
    <col min="1" max="1" width="3.42578125" style="16" customWidth="1"/>
    <col min="2" max="2" width="24.7109375" customWidth="1"/>
    <col min="3" max="3" width="1.42578125" style="16" customWidth="1"/>
    <col min="4" max="5" width="12.7109375" customWidth="1"/>
    <col min="6" max="6" width="1.42578125" style="16" customWidth="1"/>
    <col min="7" max="7" width="24.7109375" customWidth="1"/>
    <col min="9" max="9" width="10.28515625" customWidth="1"/>
    <col min="10" max="10" width="9.140625" customWidth="1"/>
  </cols>
  <sheetData>
    <row r="1" spans="2:10" s="16" customFormat="1" ht="108.75" customHeight="1" x14ac:dyDescent="0.25">
      <c r="B1" s="181" t="s">
        <v>636</v>
      </c>
      <c r="C1" s="182"/>
      <c r="D1" s="182"/>
      <c r="E1" s="182"/>
      <c r="F1" s="182"/>
      <c r="G1" s="182"/>
    </row>
    <row r="2" spans="2:10" s="16" customFormat="1" x14ac:dyDescent="0.25">
      <c r="B2" s="25"/>
      <c r="C2" s="25"/>
      <c r="D2" s="25"/>
      <c r="E2" s="25"/>
      <c r="F2" s="25"/>
      <c r="G2" s="25"/>
      <c r="H2" s="25"/>
      <c r="I2" s="25"/>
      <c r="J2" s="25"/>
    </row>
    <row r="3" spans="2:10" s="16" customFormat="1" ht="15.75" x14ac:dyDescent="0.25">
      <c r="B3" s="71" t="s">
        <v>293</v>
      </c>
      <c r="C3" s="72"/>
      <c r="D3" s="72"/>
      <c r="E3" s="72"/>
      <c r="F3" s="72"/>
      <c r="G3" s="73"/>
      <c r="H3" s="25"/>
      <c r="I3" s="25"/>
      <c r="J3" s="25"/>
    </row>
    <row r="4" spans="2:10" s="16" customFormat="1" ht="18" customHeight="1" x14ac:dyDescent="0.25">
      <c r="B4" s="74" t="s">
        <v>292</v>
      </c>
      <c r="C4" s="75"/>
      <c r="D4" s="75" t="s">
        <v>190</v>
      </c>
      <c r="E4" s="75"/>
      <c r="F4" s="75"/>
      <c r="G4" s="76"/>
      <c r="H4" s="25"/>
      <c r="I4" s="25"/>
      <c r="J4" s="25"/>
    </row>
    <row r="5" spans="2:10" s="16" customFormat="1" ht="20.25" customHeight="1" x14ac:dyDescent="0.25">
      <c r="B5" s="77"/>
      <c r="C5" s="78"/>
      <c r="D5" s="78"/>
      <c r="E5" s="78"/>
      <c r="F5" s="78"/>
      <c r="G5" s="79"/>
      <c r="H5" s="25"/>
      <c r="I5" s="70"/>
      <c r="J5" s="25"/>
    </row>
    <row r="6" spans="2:10" ht="23.45" customHeight="1" x14ac:dyDescent="0.25"/>
    <row r="7" spans="2:10" x14ac:dyDescent="0.25">
      <c r="B7" t="s">
        <v>485</v>
      </c>
    </row>
    <row r="8" spans="2:10" x14ac:dyDescent="0.25">
      <c r="B8" t="s">
        <v>137</v>
      </c>
    </row>
    <row r="10" spans="2:10" x14ac:dyDescent="0.25">
      <c r="D10" s="102">
        <v>75</v>
      </c>
      <c r="E10" s="92" t="str">
        <f>IF(UIoptions!$N$31=1,UIoptions!$M$29,UIoptions!$M$30)</f>
        <v>mm</v>
      </c>
    </row>
    <row r="11" spans="2:10" x14ac:dyDescent="0.25">
      <c r="B11" t="s">
        <v>479</v>
      </c>
      <c r="D11" s="102">
        <v>60</v>
      </c>
      <c r="E11" s="92" t="str">
        <f>IF(UIoptions!$N$31=1,UIoptions!$M$29,UIoptions!$M$30)</f>
        <v>mm</v>
      </c>
    </row>
    <row r="12" spans="2:10" x14ac:dyDescent="0.25">
      <c r="B12" t="s">
        <v>480</v>
      </c>
      <c r="D12" s="102">
        <v>11</v>
      </c>
      <c r="E12" s="92" t="str">
        <f>IF(UIoptions!$N$31=1,UIoptions!$M$29,UIoptions!$M$30)</f>
        <v>mm</v>
      </c>
    </row>
    <row r="13" spans="2:10" x14ac:dyDescent="0.25">
      <c r="B13" t="s">
        <v>481</v>
      </c>
      <c r="D13" s="102">
        <v>23</v>
      </c>
      <c r="E13" s="92" t="str">
        <f>IF(UIoptions!$N$31=1,UIoptions!$M$29,UIoptions!$M$30)</f>
        <v>mm</v>
      </c>
    </row>
    <row r="14" spans="2:10" x14ac:dyDescent="0.25">
      <c r="B14" t="s">
        <v>482</v>
      </c>
      <c r="D14" s="102">
        <v>2.5</v>
      </c>
      <c r="E14" s="92" t="str">
        <f>IF(UIoptions!$N$31=1,UIoptions!$M$29,UIoptions!$M$30)</f>
        <v>mm</v>
      </c>
    </row>
    <row r="15" spans="2:10" x14ac:dyDescent="0.25">
      <c r="B15" t="str">
        <f>IF(UIoptions!N35=1,"Square Side (SQ)","Outer Diameter (Motor)")</f>
        <v>Square Side (SQ)</v>
      </c>
      <c r="D15" s="102">
        <v>70</v>
      </c>
      <c r="E15" s="92" t="str">
        <f>IF(UIoptions!$N$31=1,UIoptions!$M$29,UIoptions!$M$30)</f>
        <v>mm</v>
      </c>
    </row>
    <row r="16" spans="2:10" ht="21.75" customHeight="1" x14ac:dyDescent="0.25">
      <c r="B16" s="14" t="s">
        <v>157</v>
      </c>
      <c r="C16" s="14"/>
      <c r="D16" s="93"/>
    </row>
    <row r="17" spans="2:7" x14ac:dyDescent="0.25">
      <c r="B17" t="s">
        <v>483</v>
      </c>
      <c r="D17" s="102"/>
      <c r="E17" s="92" t="str">
        <f>IF(UIoptions!$N$31=1,UIoptions!$M$29,UIoptions!$M$30)</f>
        <v>mm</v>
      </c>
    </row>
    <row r="18" spans="2:7" x14ac:dyDescent="0.25">
      <c r="B18" t="s">
        <v>478</v>
      </c>
      <c r="D18" s="102"/>
      <c r="E18" t="str">
        <f>IF(UIoptions!$N$31=1,UIoptions!$M$29,UIoptions!$M$30)</f>
        <v>mm</v>
      </c>
    </row>
    <row r="19" spans="2:7" ht="21.75" customHeight="1" x14ac:dyDescent="0.25">
      <c r="B19" s="14" t="s">
        <v>158</v>
      </c>
      <c r="C19" s="14"/>
      <c r="D19" s="90"/>
    </row>
    <row r="20" spans="2:7" x14ac:dyDescent="0.25">
      <c r="B20" t="s">
        <v>141</v>
      </c>
      <c r="D20" s="90"/>
    </row>
    <row r="21" spans="2:7" x14ac:dyDescent="0.25">
      <c r="B21" t="s">
        <v>142</v>
      </c>
      <c r="D21" s="102"/>
      <c r="E21" t="str">
        <f>IF(UIoptions!$N$31=1,UIoptions!$M$29,UIoptions!$M$30)</f>
        <v>mm</v>
      </c>
    </row>
    <row r="23" spans="2:7" s="16" customFormat="1" ht="15.75" x14ac:dyDescent="0.25">
      <c r="B23" s="80" t="s">
        <v>204</v>
      </c>
      <c r="C23" s="81"/>
      <c r="D23" s="80" t="str">
        <f>UIoptions!O24</f>
        <v>No match found. Please contact customer service.</v>
      </c>
    </row>
    <row r="24" spans="2:7" ht="31.5" customHeight="1" thickBot="1" x14ac:dyDescent="0.3"/>
    <row r="25" spans="2:7" ht="28.35" customHeight="1" thickBot="1" x14ac:dyDescent="0.3">
      <c r="B25" s="31" t="s">
        <v>76</v>
      </c>
      <c r="C25" s="32"/>
      <c r="D25" s="189" t="s">
        <v>78</v>
      </c>
      <c r="E25" s="190"/>
      <c r="F25" s="32"/>
      <c r="G25" s="31" t="s">
        <v>80</v>
      </c>
    </row>
    <row r="26" spans="2:7" x14ac:dyDescent="0.25">
      <c r="B26" s="30"/>
      <c r="D26" s="26"/>
      <c r="E26" s="27"/>
      <c r="G26" s="30"/>
    </row>
    <row r="27" spans="2:7" x14ac:dyDescent="0.25">
      <c r="B27" s="30"/>
      <c r="D27" s="28"/>
      <c r="E27" s="29"/>
      <c r="G27" s="30"/>
    </row>
    <row r="28" spans="2:7" x14ac:dyDescent="0.25">
      <c r="B28" s="30"/>
      <c r="D28" s="28"/>
      <c r="E28" s="29"/>
      <c r="G28" s="30"/>
    </row>
    <row r="29" spans="2:7" x14ac:dyDescent="0.25">
      <c r="B29" s="30"/>
      <c r="D29" s="28"/>
      <c r="E29" s="29"/>
      <c r="G29" s="30"/>
    </row>
    <row r="30" spans="2:7" x14ac:dyDescent="0.25">
      <c r="B30" s="30"/>
      <c r="D30" s="28"/>
      <c r="E30" s="29"/>
      <c r="G30" s="30"/>
    </row>
    <row r="31" spans="2:7" x14ac:dyDescent="0.25">
      <c r="B31" s="183" t="str">
        <f>IF(Criteria!B3=1,Criteria!D3,Criteria!C3)</f>
        <v xml:space="preserve">Values out of range:
Bolt circle diameter
Pilot diameter
</v>
      </c>
      <c r="D31" s="185" t="str">
        <f>IF(Criteria!B4=1,Criteria!D4,Criteria!C4)</f>
        <v>Your motor fits!
PLATE B
C = 59 mm</v>
      </c>
      <c r="E31" s="186"/>
      <c r="G31" s="183" t="str">
        <f>IF(Criteria!B5=1,Criteria!D5,Criteria!C5)</f>
        <v>Your motor fits!
PLATE B
C = 62 mm</v>
      </c>
    </row>
    <row r="32" spans="2:7" x14ac:dyDescent="0.25">
      <c r="B32" s="183"/>
      <c r="D32" s="185"/>
      <c r="E32" s="186"/>
      <c r="G32" s="183"/>
    </row>
    <row r="33" spans="2:7" x14ac:dyDescent="0.25">
      <c r="B33" s="183"/>
      <c r="D33" s="185"/>
      <c r="E33" s="186"/>
      <c r="G33" s="183"/>
    </row>
    <row r="34" spans="2:7" s="98" customFormat="1" x14ac:dyDescent="0.25">
      <c r="B34" s="183"/>
      <c r="D34" s="185"/>
      <c r="E34" s="186"/>
      <c r="G34" s="183"/>
    </row>
    <row r="35" spans="2:7" s="98" customFormat="1" x14ac:dyDescent="0.25">
      <c r="B35" s="183"/>
      <c r="D35" s="185"/>
      <c r="E35" s="186"/>
      <c r="G35" s="183"/>
    </row>
    <row r="36" spans="2:7" x14ac:dyDescent="0.25">
      <c r="B36" s="183"/>
      <c r="D36" s="185"/>
      <c r="E36" s="186"/>
      <c r="G36" s="183"/>
    </row>
    <row r="37" spans="2:7" ht="15.75" thickBot="1" x14ac:dyDescent="0.3">
      <c r="B37" s="184"/>
      <c r="D37" s="187"/>
      <c r="E37" s="188"/>
      <c r="G37" s="184"/>
    </row>
    <row r="38" spans="2:7" ht="8.25" customHeight="1" thickBot="1" x14ac:dyDescent="0.3"/>
    <row r="39" spans="2:7" ht="28.35" customHeight="1" thickBot="1" x14ac:dyDescent="0.3">
      <c r="B39" s="31" t="s">
        <v>81</v>
      </c>
      <c r="C39" s="32"/>
      <c r="D39" s="189" t="s">
        <v>82</v>
      </c>
      <c r="E39" s="190"/>
      <c r="F39" s="32"/>
      <c r="G39" s="31" t="s">
        <v>83</v>
      </c>
    </row>
    <row r="40" spans="2:7" x14ac:dyDescent="0.25">
      <c r="B40" s="30"/>
      <c r="D40" s="26"/>
      <c r="E40" s="27"/>
      <c r="G40" s="30"/>
    </row>
    <row r="41" spans="2:7" x14ac:dyDescent="0.25">
      <c r="B41" s="30"/>
      <c r="D41" s="28"/>
      <c r="E41" s="29"/>
      <c r="G41" s="30"/>
    </row>
    <row r="42" spans="2:7" x14ac:dyDescent="0.25">
      <c r="B42" s="30"/>
      <c r="D42" s="28"/>
      <c r="E42" s="29"/>
      <c r="G42" s="30"/>
    </row>
    <row r="43" spans="2:7" x14ac:dyDescent="0.25">
      <c r="B43" s="30"/>
      <c r="D43" s="28"/>
      <c r="E43" s="29"/>
      <c r="G43" s="30"/>
    </row>
    <row r="44" spans="2:7" x14ac:dyDescent="0.25">
      <c r="B44" s="30"/>
      <c r="D44" s="28"/>
      <c r="E44" s="29"/>
      <c r="G44" s="30"/>
    </row>
    <row r="45" spans="2:7" ht="15" customHeight="1" x14ac:dyDescent="0.25">
      <c r="B45" s="183" t="str">
        <f>IF(Criteria!B6=1,Criteria!D6,Criteria!C6)</f>
        <v xml:space="preserve">Values out of range:
Bolt circle diameter
Pilot diameter
Shaft diameter
Square side
</v>
      </c>
      <c r="D45" s="185" t="str">
        <f>IF(Criteria!B7=1,Criteria!D7,Criteria!C7)</f>
        <v>Your motor fits!
PLATE D</v>
      </c>
      <c r="E45" s="186"/>
      <c r="G45" s="183" t="str">
        <f>IF(Criteria!B8=1,Criteria!D8,Criteria!C8)</f>
        <v>Your motor fits!
PLATE C</v>
      </c>
    </row>
    <row r="46" spans="2:7" ht="15" customHeight="1" x14ac:dyDescent="0.25">
      <c r="B46" s="183"/>
      <c r="D46" s="185"/>
      <c r="E46" s="186"/>
      <c r="G46" s="183"/>
    </row>
    <row r="47" spans="2:7" s="98" customFormat="1" ht="15" customHeight="1" x14ac:dyDescent="0.25">
      <c r="B47" s="183"/>
      <c r="D47" s="185"/>
      <c r="E47" s="186"/>
      <c r="G47" s="183"/>
    </row>
    <row r="48" spans="2:7" s="98" customFormat="1" ht="15" customHeight="1" x14ac:dyDescent="0.25">
      <c r="B48" s="183"/>
      <c r="D48" s="185"/>
      <c r="E48" s="186"/>
      <c r="G48" s="183"/>
    </row>
    <row r="49" spans="2:7" ht="15" customHeight="1" x14ac:dyDescent="0.25">
      <c r="B49" s="183"/>
      <c r="D49" s="185"/>
      <c r="E49" s="186"/>
      <c r="G49" s="183"/>
    </row>
    <row r="50" spans="2:7" ht="15" customHeight="1" x14ac:dyDescent="0.25">
      <c r="B50" s="183"/>
      <c r="D50" s="185"/>
      <c r="E50" s="186"/>
      <c r="G50" s="183"/>
    </row>
    <row r="51" spans="2:7" ht="15" customHeight="1" thickBot="1" x14ac:dyDescent="0.3">
      <c r="B51" s="184"/>
      <c r="D51" s="187"/>
      <c r="E51" s="188"/>
      <c r="G51" s="184"/>
    </row>
    <row r="54" spans="2:7" x14ac:dyDescent="0.25">
      <c r="B54" t="s">
        <v>294</v>
      </c>
    </row>
    <row r="55" spans="2:7" x14ac:dyDescent="0.25">
      <c r="B55" t="s">
        <v>457</v>
      </c>
    </row>
    <row r="57" spans="2:7" x14ac:dyDescent="0.25">
      <c r="B57" t="s">
        <v>295</v>
      </c>
      <c r="D57" s="16"/>
    </row>
  </sheetData>
  <sheetProtection algorithmName="SHA-512" hashValue="b1S8jgPlq5iXYeUTcZJPvsdLDTNZZcrFpl7SldvS8baxmngdPRliJb54OgMpxxHB/CsLr0RgtWC5iZPKIbOe8A==" saltValue="r/9Qyfu2bgDegyPg1rEK0A==" spinCount="100000" sheet="1" selectLockedCells="1"/>
  <mergeCells count="9">
    <mergeCell ref="B1:G1"/>
    <mergeCell ref="B45:B51"/>
    <mergeCell ref="D45:E51"/>
    <mergeCell ref="G45:G51"/>
    <mergeCell ref="D25:E25"/>
    <mergeCell ref="B31:B37"/>
    <mergeCell ref="D31:E37"/>
    <mergeCell ref="G31:G37"/>
    <mergeCell ref="D39:E39"/>
  </mergeCells>
  <dataValidations count="1">
    <dataValidation type="decimal" operator="greaterThanOrEqual" allowBlank="1" showInputMessage="1" showErrorMessage="1" errorTitle="Non valid entry!" error="Please enter a numeric value." sqref="D21 D17:D18 D10:D15" xr:uid="{00000000-0002-0000-0000-000000000000}">
      <formula1>0</formula1>
    </dataValidation>
  </dataValidations>
  <pageMargins left="0.7" right="0.7" top="0.75" bottom="0.75" header="0.3" footer="0.3"/>
  <pageSetup paperSize="9" scale="68" orientation="portrait" r:id="rId1"/>
  <customProperties>
    <customPr name="workbookAdvencedSettings" r:id="rId2"/>
    <customPr name="workbookExecutionSettings" r:id="rId3"/>
    <customPr name="workbookGatewaySettings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7" name="DropDownUnits">
              <controlPr defaultSize="0" autoLine="0" autoPict="0">
                <anchor moveWithCells="1">
                  <from>
                    <xdr:col>3</xdr:col>
                    <xdr:colOff>0</xdr:colOff>
                    <xdr:row>6</xdr:row>
                    <xdr:rowOff>28575</xdr:rowOff>
                  </from>
                  <to>
                    <xdr:col>4</xdr:col>
                    <xdr:colOff>238125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Drop Down 6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28575</xdr:rowOff>
                  </from>
                  <to>
                    <xdr:col>4</xdr:col>
                    <xdr:colOff>238125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9" name="Drop Down 11">
              <controlPr defaultSize="0" autoLine="0" autoPict="0" macro="[0]!ThreadChanged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238125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0" name="Drop Down 1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1466850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1" name="Drop Down 16">
              <controlPr defaultSize="0" autoLine="0" autoPict="0" macro="[0]!MotorManufacturerChange">
                <anchor moveWithCells="1">
                  <from>
                    <xdr:col>1</xdr:col>
                    <xdr:colOff>66675</xdr:colOff>
                    <xdr:row>3</xdr:row>
                    <xdr:rowOff>219075</xdr:rowOff>
                  </from>
                  <to>
                    <xdr:col>1</xdr:col>
                    <xdr:colOff>1552575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2" name="fhf">
              <controlPr defaultSize="0" print="0" autoFill="0" autoPict="0" macro="[0]!LoadMotor">
                <anchor moveWithCells="1" sizeWithCells="1">
                  <from>
                    <xdr:col>6</xdr:col>
                    <xdr:colOff>457200</xdr:colOff>
                    <xdr:row>3</xdr:row>
                    <xdr:rowOff>219075</xdr:rowOff>
                  </from>
                  <to>
                    <xdr:col>6</xdr:col>
                    <xdr:colOff>1409700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3" name="Drop Down 18">
              <controlPr defaultSize="0" autoLine="0" autoPict="0">
                <anchor moveWithCells="1">
                  <from>
                    <xdr:col>3</xdr:col>
                    <xdr:colOff>28575</xdr:colOff>
                    <xdr:row>3</xdr:row>
                    <xdr:rowOff>219075</xdr:rowOff>
                  </from>
                  <to>
                    <xdr:col>6</xdr:col>
                    <xdr:colOff>180975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65BCF1DE-9E7F-4BD8-BCB3-62D3E24B1ADD}">
            <xm:f>Criteria!$B$3&lt;1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18" stopIfTrue="1" id="{F5CF178B-6BB1-4465-9551-14354C51E830}">
            <xm:f>Criteria!$B$3&gt;0</xm:f>
            <x14:dxf>
              <fill>
                <patternFill>
                  <bgColor rgb="FF92D050"/>
                </patternFill>
              </fill>
            </x14:dxf>
          </x14:cfRule>
          <xm:sqref>B25</xm:sqref>
        </x14:conditionalFormatting>
        <x14:conditionalFormatting xmlns:xm="http://schemas.microsoft.com/office/excel/2006/main">
          <x14:cfRule type="expression" priority="15" id="{D4002804-C809-49AA-97A0-52A4B0B0B43F}">
            <xm:f>Criteria!$B$4&lt;1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90175708-FD0A-43D9-9BED-F71F794270CC}">
            <xm:f>Criteria!$B$4&gt;0</xm:f>
            <x14:dxf>
              <fill>
                <patternFill>
                  <bgColor rgb="FF92D050"/>
                </patternFill>
              </fill>
            </x14:dxf>
          </x14:cfRule>
          <xm:sqref>D25:E25</xm:sqref>
        </x14:conditionalFormatting>
        <x14:conditionalFormatting xmlns:xm="http://schemas.microsoft.com/office/excel/2006/main">
          <x14:cfRule type="expression" priority="13" id="{591E8BF8-D908-4B1B-BE49-04EE33AFF59C}">
            <xm:f>Criteria!$B$5&lt;1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B6B22A95-070B-4FF7-8A45-B21994961706}">
            <xm:f>Criteria!$B$5&gt;0</xm:f>
            <x14:dxf>
              <fill>
                <patternFill>
                  <bgColor rgb="FF92D050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5" id="{5736CAC3-2692-409A-87F6-7A48E67B9634}">
            <xm:f>Criteria!$B$6&lt;1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7B4FA37B-A077-4A29-9AF0-2726C98F1A19}">
            <xm:f>Criteria!$B$6&gt;0</xm:f>
            <x14:dxf>
              <fill>
                <patternFill>
                  <bgColor rgb="FF92D050"/>
                </patternFill>
              </fill>
            </x14:dxf>
          </x14:cfRule>
          <xm:sqref>B39</xm:sqref>
        </x14:conditionalFormatting>
        <x14:conditionalFormatting xmlns:xm="http://schemas.microsoft.com/office/excel/2006/main">
          <x14:cfRule type="expression" priority="3" id="{98535593-5B24-4E2B-BB68-6A41EB7D8BB2}">
            <xm:f>Criteria!$B$7&lt;1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F66CDCC8-7DE7-468E-8CAA-6B61BB39F278}">
            <xm:f>Criteria!$B$7&gt;0</xm:f>
            <x14:dxf>
              <font>
                <b val="0"/>
                <i val="0"/>
              </font>
              <fill>
                <patternFill>
                  <bgColor rgb="FF92D050"/>
                </patternFill>
              </fill>
            </x14:dxf>
          </x14:cfRule>
          <xm:sqref>D39:E39</xm:sqref>
        </x14:conditionalFormatting>
        <x14:conditionalFormatting xmlns:xm="http://schemas.microsoft.com/office/excel/2006/main">
          <x14:cfRule type="expression" priority="1" id="{5B09895C-C480-47D7-A5F2-24BE74EBB7FC}">
            <xm:f>Criteria!$B$8&lt;1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CE6CCC82-1376-4750-A634-0FE90BB77700}">
            <xm:f>Criteria!$B$8&gt;0</xm:f>
            <x14:dxf>
              <fill>
                <patternFill>
                  <bgColor rgb="FF92D050"/>
                </patternFill>
              </fill>
            </x14:dxf>
          </x14:cfRule>
          <xm:sqref>G39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2:W142"/>
  <sheetViews>
    <sheetView showWhiteSpace="0" topLeftCell="A37" zoomScaleNormal="100" workbookViewId="0">
      <selection activeCell="C3" sqref="C3"/>
    </sheetView>
  </sheetViews>
  <sheetFormatPr defaultColWidth="9.140625" defaultRowHeight="15" x14ac:dyDescent="0.25"/>
  <cols>
    <col min="1" max="1" width="3.42578125" style="92" customWidth="1"/>
    <col min="2" max="2" width="11.85546875" style="92" customWidth="1"/>
    <col min="3" max="3" width="5.5703125" style="92" customWidth="1"/>
    <col min="4" max="4" width="10.42578125" style="92" customWidth="1"/>
    <col min="5" max="5" width="7.5703125" style="92" customWidth="1"/>
    <col min="6" max="6" width="4.42578125" style="92" customWidth="1"/>
    <col min="7" max="7" width="5.85546875" style="92" bestFit="1" customWidth="1"/>
    <col min="8" max="8" width="9.140625" style="92"/>
    <col min="9" max="10" width="6" style="92" bestFit="1" customWidth="1"/>
    <col min="11" max="11" width="9.140625" style="92" customWidth="1"/>
    <col min="12" max="12" width="6.85546875" style="92" customWidth="1"/>
    <col min="13" max="13" width="20.85546875" style="92" customWidth="1"/>
    <col min="14" max="15" width="9.140625" style="92" customWidth="1"/>
    <col min="16" max="16" width="9.7109375" style="92" customWidth="1"/>
    <col min="17" max="17" width="9.140625" style="92" customWidth="1"/>
    <col min="18" max="18" width="14.85546875" style="92" customWidth="1"/>
    <col min="19" max="19" width="9.140625" style="92" customWidth="1"/>
    <col min="20" max="20" width="13.42578125" style="92" customWidth="1"/>
    <col min="21" max="23" width="9.140625" style="92" customWidth="1"/>
    <col min="24" max="16384" width="9.140625" style="92"/>
  </cols>
  <sheetData>
    <row r="2" spans="9:23" x14ac:dyDescent="0.25"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9:23" x14ac:dyDescent="0.25"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</row>
    <row r="4" spans="9:23" x14ac:dyDescent="0.25"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9:23" x14ac:dyDescent="0.25">
      <c r="I5" s="70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8" spans="9:23" x14ac:dyDescent="0.25">
      <c r="K8" s="21"/>
      <c r="L8" s="22"/>
      <c r="M8" s="22" t="s">
        <v>164</v>
      </c>
      <c r="N8" s="22"/>
      <c r="O8" s="22"/>
      <c r="P8" s="22"/>
      <c r="Q8" s="21" t="s">
        <v>230</v>
      </c>
      <c r="R8" s="22"/>
      <c r="S8" s="22"/>
      <c r="T8" s="23"/>
    </row>
    <row r="9" spans="9:23" x14ac:dyDescent="0.25">
      <c r="K9" s="17" t="s">
        <v>181</v>
      </c>
      <c r="L9" s="25"/>
      <c r="M9" s="25" t="s">
        <v>163</v>
      </c>
      <c r="N9" s="25" t="s">
        <v>166</v>
      </c>
      <c r="O9" s="25" t="s">
        <v>167</v>
      </c>
      <c r="P9" s="25" t="s">
        <v>168</v>
      </c>
      <c r="Q9" s="17" t="s">
        <v>169</v>
      </c>
      <c r="R9" s="25" t="s">
        <v>170</v>
      </c>
      <c r="S9" s="25" t="s">
        <v>160</v>
      </c>
      <c r="T9" s="18" t="s">
        <v>161</v>
      </c>
    </row>
    <row r="10" spans="9:23" x14ac:dyDescent="0.25">
      <c r="K10" s="17">
        <f>IF(N22=1,UI!D10,UI!D10*SQRT(2))</f>
        <v>75</v>
      </c>
      <c r="L10" s="13" t="s">
        <v>36</v>
      </c>
      <c r="M10" s="46">
        <f>IF($N$31=2,K10*25.4,K10)</f>
        <v>75</v>
      </c>
      <c r="N10" s="25">
        <v>1</v>
      </c>
      <c r="O10" s="46">
        <f t="shared" ref="O10:O15" si="0">ROUND(M10,N10)</f>
        <v>75</v>
      </c>
      <c r="P10" s="46">
        <f t="shared" ref="P10:P15" si="1">O10</f>
        <v>75</v>
      </c>
      <c r="Q10" s="17">
        <f>25.4*0.001</f>
        <v>2.5399999999999999E-2</v>
      </c>
      <c r="R10" s="25">
        <f>25.4*0.001</f>
        <v>2.5399999999999999E-2</v>
      </c>
      <c r="S10" s="46">
        <f>P10-Q10</f>
        <v>74.974599999999995</v>
      </c>
      <c r="T10" s="18">
        <f>P10+R10</f>
        <v>75.025400000000005</v>
      </c>
    </row>
    <row r="11" spans="9:23" x14ac:dyDescent="0.25">
      <c r="K11" s="17"/>
      <c r="L11" s="13" t="s">
        <v>18</v>
      </c>
      <c r="M11" s="46">
        <f>IF($N$31=2,UI!D11*25.4,UI!D11)</f>
        <v>60</v>
      </c>
      <c r="N11" s="25">
        <v>2</v>
      </c>
      <c r="O11" s="46">
        <f>ROUNDUP(M11,N11)</f>
        <v>60</v>
      </c>
      <c r="P11" s="46">
        <f>O11</f>
        <v>60</v>
      </c>
      <c r="Q11" s="17">
        <f>25.4*0.0005</f>
        <v>1.2699999999999999E-2</v>
      </c>
      <c r="R11" s="25">
        <f>25.4*0.0005</f>
        <v>1.2699999999999999E-2</v>
      </c>
      <c r="S11" s="46">
        <f>P11-Q11</f>
        <v>59.987299999999998</v>
      </c>
      <c r="T11" s="18">
        <f>P11+R11</f>
        <v>60.012700000000002</v>
      </c>
    </row>
    <row r="12" spans="9:23" x14ac:dyDescent="0.25">
      <c r="K12" s="17"/>
      <c r="L12" s="13" t="s">
        <v>42</v>
      </c>
      <c r="M12" s="46">
        <f>IF($N$31=2,UI!D12*25.4,UI!D12)</f>
        <v>11</v>
      </c>
      <c r="N12" s="25">
        <v>2</v>
      </c>
      <c r="O12" s="46">
        <f>IF(M12=15.875,M12,ROUNDUP(M12,N12))</f>
        <v>11</v>
      </c>
      <c r="P12" s="46">
        <f t="shared" si="1"/>
        <v>11</v>
      </c>
      <c r="Q12" s="17">
        <f>25.4*0.0005</f>
        <v>1.2699999999999999E-2</v>
      </c>
      <c r="R12" s="25">
        <f>25.4*0.0005</f>
        <v>1.2699999999999999E-2</v>
      </c>
      <c r="S12" s="46">
        <f>P12-Q12</f>
        <v>10.987299999999999</v>
      </c>
      <c r="T12" s="18">
        <f>P12+R12</f>
        <v>11.012700000000001</v>
      </c>
    </row>
    <row r="13" spans="9:23" x14ac:dyDescent="0.25">
      <c r="K13" s="17"/>
      <c r="L13" s="13" t="s">
        <v>43</v>
      </c>
      <c r="M13" s="46">
        <f>IF($N$31=2,UI!D13*25.4,UI!D13)</f>
        <v>23</v>
      </c>
      <c r="N13" s="25">
        <v>1</v>
      </c>
      <c r="O13" s="46">
        <f t="shared" si="0"/>
        <v>23</v>
      </c>
      <c r="P13" s="46">
        <f t="shared" si="1"/>
        <v>23</v>
      </c>
      <c r="Q13" s="17">
        <f>25.4*0.003</f>
        <v>7.6200000000000004E-2</v>
      </c>
      <c r="R13" s="25">
        <f>25.4*0.003</f>
        <v>7.6200000000000004E-2</v>
      </c>
      <c r="S13" s="46">
        <f>P13-Q13</f>
        <v>22.9238</v>
      </c>
      <c r="T13" s="18">
        <f>P13+R13</f>
        <v>23.0762</v>
      </c>
    </row>
    <row r="14" spans="9:23" x14ac:dyDescent="0.25">
      <c r="K14" s="17"/>
      <c r="L14" s="13" t="s">
        <v>165</v>
      </c>
      <c r="M14" s="46">
        <f>IF($N$31=2,UI!D14*25.4,UI!D14)</f>
        <v>2.5</v>
      </c>
      <c r="N14" s="25">
        <v>1</v>
      </c>
      <c r="O14" s="46">
        <f t="shared" si="0"/>
        <v>2.5</v>
      </c>
      <c r="P14" s="46">
        <f t="shared" si="1"/>
        <v>2.5</v>
      </c>
      <c r="Q14" s="17"/>
      <c r="R14" s="25"/>
      <c r="S14" s="25">
        <v>0.2</v>
      </c>
      <c r="T14" s="18">
        <v>4</v>
      </c>
    </row>
    <row r="15" spans="9:23" x14ac:dyDescent="0.25">
      <c r="K15" s="17"/>
      <c r="L15" s="13" t="s">
        <v>173</v>
      </c>
      <c r="M15" s="46">
        <f>IF($N$31=2,UI!D15*25.4,UI!D15)</f>
        <v>70</v>
      </c>
      <c r="N15" s="25">
        <v>1</v>
      </c>
      <c r="O15" s="46">
        <f t="shared" si="0"/>
        <v>70</v>
      </c>
      <c r="P15" s="46">
        <f t="shared" si="1"/>
        <v>70</v>
      </c>
      <c r="Q15" s="17">
        <v>0.10100000000000001</v>
      </c>
      <c r="R15" s="25">
        <v>0.10100000000000001</v>
      </c>
      <c r="S15" s="46">
        <f>P15-Q15</f>
        <v>69.899000000000001</v>
      </c>
      <c r="T15" s="18">
        <f>P15+R15</f>
        <v>70.100999999999999</v>
      </c>
    </row>
    <row r="16" spans="9:23" x14ac:dyDescent="0.25">
      <c r="K16" s="17"/>
      <c r="L16" s="13" t="s">
        <v>66</v>
      </c>
      <c r="M16" s="46">
        <f>IF($N$31=2,UI!D18*25.4,UI!D18)</f>
        <v>0</v>
      </c>
      <c r="N16" s="25">
        <v>1</v>
      </c>
      <c r="O16" s="46">
        <f>ROUND(M16,N16)</f>
        <v>0</v>
      </c>
      <c r="P16" s="46">
        <f>O16</f>
        <v>0</v>
      </c>
      <c r="Q16" s="17">
        <v>0.1</v>
      </c>
      <c r="R16" s="25">
        <v>0.1</v>
      </c>
      <c r="S16" s="46">
        <f>P16-Q16</f>
        <v>-0.1</v>
      </c>
      <c r="T16" s="18">
        <f>P16+R16</f>
        <v>0.1</v>
      </c>
    </row>
    <row r="17" spans="1:21" x14ac:dyDescent="0.25">
      <c r="K17" s="17"/>
      <c r="L17" s="13" t="s">
        <v>71</v>
      </c>
      <c r="M17" s="46">
        <f>IF($N$31=2,UI!D21*25.4,UI!D21)</f>
        <v>0</v>
      </c>
      <c r="N17" s="25">
        <v>1</v>
      </c>
      <c r="O17" s="46">
        <f>ROUND(M17,N17)</f>
        <v>0</v>
      </c>
      <c r="P17" s="46">
        <f>O17</f>
        <v>0</v>
      </c>
      <c r="Q17" s="17">
        <f>25.4*0.001</f>
        <v>2.5399999999999999E-2</v>
      </c>
      <c r="R17" s="25">
        <f>25.4*0.001</f>
        <v>2.5399999999999999E-2</v>
      </c>
      <c r="S17" s="46">
        <f>P17-Q17</f>
        <v>-2.5399999999999999E-2</v>
      </c>
      <c r="T17" s="18">
        <f>P17+R17</f>
        <v>2.5399999999999999E-2</v>
      </c>
    </row>
    <row r="18" spans="1:21" x14ac:dyDescent="0.25">
      <c r="K18" s="17"/>
      <c r="L18" s="13" t="s">
        <v>456</v>
      </c>
      <c r="M18" s="46">
        <f>IF($N$31=2,UI!D17*25.4,UI!D17)</f>
        <v>0</v>
      </c>
      <c r="N18" s="25">
        <v>1</v>
      </c>
      <c r="O18" s="46">
        <f>ROUND(M18,N18)</f>
        <v>0</v>
      </c>
      <c r="P18" s="46">
        <f>O18</f>
        <v>0</v>
      </c>
      <c r="Q18" s="66" t="e">
        <f>IF(N75=1,INDEX(Criteria!A111:G125,MATCH(1,Criteria!G111:G125,0),1),"NA")</f>
        <v>#N/A</v>
      </c>
      <c r="R18" s="25"/>
      <c r="S18" s="25"/>
      <c r="T18" s="18"/>
    </row>
    <row r="19" spans="1:21" x14ac:dyDescent="0.25">
      <c r="K19" s="19"/>
      <c r="L19" s="47" t="s">
        <v>199</v>
      </c>
      <c r="M19" s="24"/>
      <c r="N19" s="24"/>
      <c r="O19" s="24"/>
      <c r="P19" s="48" t="str">
        <f>IF(N75=1,"NA",INDEX(M37:M74,MATCH(N75,N37:N74,0),1))</f>
        <v>NA</v>
      </c>
      <c r="Q19" s="19"/>
      <c r="R19" s="24"/>
      <c r="S19" s="24"/>
      <c r="T19" s="20"/>
    </row>
    <row r="20" spans="1:21" x14ac:dyDescent="0.25">
      <c r="M20" s="17" t="s">
        <v>477</v>
      </c>
      <c r="N20" s="18">
        <v>1</v>
      </c>
      <c r="T20" s="92">
        <v>4</v>
      </c>
    </row>
    <row r="21" spans="1:21" x14ac:dyDescent="0.25">
      <c r="M21" s="17" t="s">
        <v>484</v>
      </c>
      <c r="N21" s="18">
        <v>2</v>
      </c>
      <c r="S21" s="92" t="s">
        <v>286</v>
      </c>
      <c r="T21" s="92">
        <v>5</v>
      </c>
      <c r="U21" s="92" t="str">
        <f>INDEX(MotorManufacturersTxt,T21)</f>
        <v>Kollmorgen</v>
      </c>
    </row>
    <row r="22" spans="1:21" x14ac:dyDescent="0.25">
      <c r="M22" s="19" t="s">
        <v>140</v>
      </c>
      <c r="N22" s="20">
        <v>1</v>
      </c>
      <c r="S22" s="92" t="s">
        <v>290</v>
      </c>
      <c r="T22" s="92">
        <v>14</v>
      </c>
      <c r="U22" s="92" t="str">
        <f ca="1">INDEX(MotorModelsTxt,T22)</f>
        <v>AKM3xx-Gxxxx-00</v>
      </c>
    </row>
    <row r="24" spans="1:21" ht="15.75" thickBot="1" x14ac:dyDescent="0.3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M24" s="43" t="s">
        <v>203</v>
      </c>
      <c r="N24" s="44" t="str">
        <f>IFERROR(INDEX(PCdb[#Data],MATCH(1,PCdb[HIT?],0),1),M25)</f>
        <v>No match found. Please contact customer service.</v>
      </c>
      <c r="O24" s="45" t="str">
        <f>IF(N24&gt;99,N24,IF(N24&gt;9,CONCATENATE("0",N24),CONCATENATE("00",N24)))</f>
        <v>No match found. Please contact customer service.</v>
      </c>
      <c r="U24" s="21">
        <f ca="1">MATCH(CONCATENATE(U21,U22),TableMotorCrossRef[ComboTxt],0)</f>
        <v>29</v>
      </c>
    </row>
    <row r="25" spans="1:21" x14ac:dyDescent="0.25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M25" s="92" t="s">
        <v>224</v>
      </c>
      <c r="S25" s="191" t="s">
        <v>284</v>
      </c>
      <c r="T25" s="67" t="s">
        <v>36</v>
      </c>
      <c r="U25" s="27">
        <f ca="1">INDEX(TableMotorCrossRef[],$U$24,4)</f>
        <v>75</v>
      </c>
    </row>
    <row r="26" spans="1:21" x14ac:dyDescent="0.25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S26" s="192"/>
      <c r="T26" s="42" t="s">
        <v>18</v>
      </c>
      <c r="U26" s="29">
        <f ca="1">INDEX(TableMotorCrossRef[],$U$24,5)</f>
        <v>60</v>
      </c>
    </row>
    <row r="27" spans="1:21" x14ac:dyDescent="0.25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O27" s="15"/>
      <c r="P27" s="15"/>
      <c r="Q27" s="15"/>
      <c r="R27" s="15"/>
      <c r="S27" s="192"/>
      <c r="T27" s="42" t="s">
        <v>42</v>
      </c>
      <c r="U27" s="29">
        <f ca="1">INDEX(TableMotorCrossRef[],$U$24,7)</f>
        <v>11</v>
      </c>
    </row>
    <row r="28" spans="1:21" x14ac:dyDescent="0.25">
      <c r="A28" s="103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O28" s="15"/>
      <c r="P28" s="15"/>
      <c r="Q28" s="15"/>
      <c r="R28" s="15"/>
      <c r="S28" s="192"/>
      <c r="T28" s="42" t="s">
        <v>43</v>
      </c>
      <c r="U28" s="29">
        <f ca="1">INDEX(TableMotorCrossRef[],$U$24,8)</f>
        <v>23</v>
      </c>
    </row>
    <row r="29" spans="1:21" x14ac:dyDescent="0.25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M29" s="21" t="s">
        <v>135</v>
      </c>
      <c r="N29" s="23">
        <v>1</v>
      </c>
      <c r="O29" s="15"/>
      <c r="P29" s="15"/>
      <c r="Q29" s="15"/>
      <c r="R29" s="15"/>
      <c r="S29" s="192"/>
      <c r="T29" s="42" t="s">
        <v>165</v>
      </c>
      <c r="U29" s="29">
        <f ca="1">INDEX(TableMotorCrossRef[],$U$24,6)</f>
        <v>2.5</v>
      </c>
    </row>
    <row r="30" spans="1:21" ht="15.75" thickBot="1" x14ac:dyDescent="0.3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M30" s="17" t="s">
        <v>136</v>
      </c>
      <c r="N30" s="18">
        <v>2</v>
      </c>
      <c r="O30" s="15"/>
      <c r="P30" s="15"/>
      <c r="Q30" s="15"/>
      <c r="R30" s="15"/>
      <c r="S30" s="192"/>
      <c r="T30" s="42" t="s">
        <v>173</v>
      </c>
      <c r="U30" s="29">
        <f ca="1">IF(INDEX(TableMotorCrossRef[],$U$24,9)="NA",INDEX(TableMotorCrossRef[],1,10),INDEX(TableMotorCrossRef[],$U$24,9))</f>
        <v>70</v>
      </c>
    </row>
    <row r="31" spans="1:21" x14ac:dyDescent="0.25">
      <c r="A31" s="26"/>
      <c r="B31" s="150"/>
      <c r="C31" s="150"/>
      <c r="D31" s="150"/>
      <c r="E31" s="150"/>
      <c r="F31" s="150"/>
      <c r="G31" s="150"/>
      <c r="H31" s="150"/>
      <c r="I31" s="150"/>
      <c r="J31" s="150"/>
      <c r="K31" s="27"/>
      <c r="M31" s="19" t="s">
        <v>140</v>
      </c>
      <c r="N31" s="20">
        <v>1</v>
      </c>
      <c r="O31" s="15"/>
      <c r="P31" s="15"/>
      <c r="Q31" s="15"/>
      <c r="R31" s="15"/>
      <c r="S31" s="192"/>
      <c r="T31" s="42" t="s">
        <v>210</v>
      </c>
      <c r="U31" s="29">
        <f ca="1">INDEX(TableMotorCrossRef[],$U$24,9)</f>
        <v>70</v>
      </c>
    </row>
    <row r="32" spans="1:21" x14ac:dyDescent="0.25">
      <c r="A32" s="28"/>
      <c r="B32" s="154" t="s">
        <v>517</v>
      </c>
      <c r="C32" s="25"/>
      <c r="D32" s="25"/>
      <c r="E32" s="25"/>
      <c r="F32" s="25"/>
      <c r="G32" s="25"/>
      <c r="H32" s="25"/>
      <c r="I32" s="25"/>
      <c r="J32" s="25"/>
      <c r="K32" s="29"/>
      <c r="O32" s="15"/>
      <c r="P32" s="15"/>
      <c r="Q32" s="15"/>
      <c r="R32" s="15"/>
      <c r="S32" s="192"/>
      <c r="T32" s="42" t="s">
        <v>211</v>
      </c>
      <c r="U32" s="29" t="str">
        <f ca="1">INDEX(TableMotorCrossRef[],$U$24,10)</f>
        <v>NA</v>
      </c>
    </row>
    <row r="33" spans="1:21" x14ac:dyDescent="0.25">
      <c r="A33" s="28"/>
      <c r="B33" s="25"/>
      <c r="C33" s="25"/>
      <c r="D33" s="25"/>
      <c r="E33" s="25"/>
      <c r="F33" s="25"/>
      <c r="G33" s="25"/>
      <c r="H33" s="25"/>
      <c r="I33" s="25"/>
      <c r="J33" s="25"/>
      <c r="K33" s="29"/>
      <c r="M33" s="21" t="s">
        <v>138</v>
      </c>
      <c r="N33" s="23">
        <v>1</v>
      </c>
      <c r="O33" s="15"/>
      <c r="P33" s="15"/>
      <c r="Q33" s="15"/>
      <c r="R33" s="15"/>
      <c r="S33" s="192"/>
      <c r="T33" s="42" t="s">
        <v>66</v>
      </c>
      <c r="U33" s="29">
        <f ca="1">IF(INDEX(TableMotorCrossRef[],$U$24,11)="NA","",INDEX(TableMotorCrossRef[],$U$24,11))</f>
        <v>6.9</v>
      </c>
    </row>
    <row r="34" spans="1:21" x14ac:dyDescent="0.25">
      <c r="A34" s="28"/>
      <c r="B34" s="153" t="s">
        <v>17</v>
      </c>
      <c r="C34" s="23"/>
      <c r="D34" s="25"/>
      <c r="E34" s="25"/>
      <c r="F34" s="25"/>
      <c r="G34" s="25"/>
      <c r="H34" s="25"/>
      <c r="I34" s="25"/>
      <c r="J34" s="25"/>
      <c r="K34" s="29"/>
      <c r="M34" s="17" t="s">
        <v>139</v>
      </c>
      <c r="N34" s="18">
        <v>2</v>
      </c>
      <c r="O34" s="15"/>
      <c r="P34" s="15"/>
      <c r="Q34" s="15"/>
      <c r="R34" s="15"/>
      <c r="S34" s="192"/>
      <c r="T34" s="42" t="s">
        <v>71</v>
      </c>
      <c r="U34" s="29" t="str">
        <f ca="1">IF(INDEX(TableMotorCrossRef[],$U$24,14)="NA","",INDEX(TableMotorCrossRef[],$U$24,14))</f>
        <v/>
      </c>
    </row>
    <row r="35" spans="1:21" x14ac:dyDescent="0.25">
      <c r="A35" s="28"/>
      <c r="B35" s="17" t="s">
        <v>140</v>
      </c>
      <c r="C35" s="18">
        <v>3</v>
      </c>
      <c r="D35" s="25"/>
      <c r="E35" s="25"/>
      <c r="F35" s="25"/>
      <c r="G35" s="25"/>
      <c r="H35" s="25"/>
      <c r="I35" s="25"/>
      <c r="J35" s="25"/>
      <c r="K35" s="29"/>
      <c r="M35" s="19" t="s">
        <v>140</v>
      </c>
      <c r="N35" s="20">
        <v>1</v>
      </c>
      <c r="O35" s="15"/>
      <c r="P35" s="15"/>
      <c r="Q35" s="15"/>
      <c r="R35" s="15"/>
      <c r="S35" s="192"/>
      <c r="T35" s="17" t="s">
        <v>175</v>
      </c>
      <c r="U35" s="29">
        <f ca="1">IF(INDEX(TableMotorCrossRef[],$U$24,12)="NA","",INDEX(TableMotorCrossRef[],$U$24,12))</f>
        <v>5.8</v>
      </c>
    </row>
    <row r="36" spans="1:21" x14ac:dyDescent="0.25">
      <c r="A36" s="28"/>
      <c r="B36" s="17" t="s">
        <v>6</v>
      </c>
      <c r="C36" s="18">
        <v>1</v>
      </c>
      <c r="D36" s="25"/>
      <c r="E36" s="25"/>
      <c r="F36" s="25"/>
      <c r="G36" s="25"/>
      <c r="H36" s="25"/>
      <c r="I36" s="25"/>
      <c r="J36" s="25"/>
      <c r="K36" s="29"/>
      <c r="O36" s="15"/>
      <c r="P36" s="15"/>
      <c r="Q36" s="15"/>
      <c r="R36" s="15"/>
      <c r="S36" s="192"/>
      <c r="T36" s="17" t="s">
        <v>199</v>
      </c>
      <c r="U36" s="29" t="str">
        <f ca="1">IF(INDEX(TableMotorCrossRef[],$U$24,13)="NA","",INDEX(TableMotorCrossRef[],$U$24,13))</f>
        <v/>
      </c>
    </row>
    <row r="37" spans="1:21" x14ac:dyDescent="0.25">
      <c r="A37" s="28"/>
      <c r="B37" s="17" t="s">
        <v>32</v>
      </c>
      <c r="C37" s="18">
        <v>2</v>
      </c>
      <c r="D37" s="25"/>
      <c r="E37" s="25"/>
      <c r="F37" s="25"/>
      <c r="G37" s="25"/>
      <c r="H37" s="25"/>
      <c r="I37" s="25"/>
      <c r="J37" s="25"/>
      <c r="K37" s="29"/>
      <c r="M37" s="21" t="s">
        <v>159</v>
      </c>
      <c r="N37" s="23">
        <v>1</v>
      </c>
      <c r="O37" s="15"/>
      <c r="P37" s="15"/>
      <c r="Q37" s="15"/>
      <c r="R37" s="15"/>
      <c r="S37" s="192"/>
      <c r="T37" s="17" t="s">
        <v>199</v>
      </c>
      <c r="U37" s="29" t="str">
        <f ca="1">INDEX(TableMotorCrossRef[],$U$24,13)</f>
        <v>NA</v>
      </c>
    </row>
    <row r="38" spans="1:21" ht="15.75" thickBot="1" x14ac:dyDescent="0.3">
      <c r="A38" s="28"/>
      <c r="B38" s="19" t="s">
        <v>33</v>
      </c>
      <c r="C38" s="20">
        <v>3</v>
      </c>
      <c r="D38" s="25"/>
      <c r="E38" s="25"/>
      <c r="F38" s="25"/>
      <c r="G38" s="25"/>
      <c r="H38" s="25"/>
      <c r="I38" s="25"/>
      <c r="J38" s="25"/>
      <c r="K38" s="29"/>
      <c r="M38" s="49" t="s">
        <v>105</v>
      </c>
      <c r="N38" s="18">
        <v>2</v>
      </c>
      <c r="O38" s="15"/>
      <c r="P38" s="15"/>
      <c r="Q38" s="15"/>
      <c r="R38" s="15"/>
      <c r="S38" s="193"/>
      <c r="T38" s="68" t="s">
        <v>212</v>
      </c>
      <c r="U38" s="69">
        <f ca="1">IF(OR(U37="NA",T22=0),1,INDEX(M38:N74,MATCH(U37,M38:M74,0),2))</f>
        <v>1</v>
      </c>
    </row>
    <row r="39" spans="1:21" x14ac:dyDescent="0.25">
      <c r="A39" s="28"/>
      <c r="B39" s="25"/>
      <c r="C39" s="25"/>
      <c r="D39" s="25"/>
      <c r="E39" s="25"/>
      <c r="F39" s="25"/>
      <c r="G39" s="25"/>
      <c r="H39" s="25"/>
      <c r="I39" s="25"/>
      <c r="J39" s="25"/>
      <c r="K39" s="29"/>
      <c r="M39" s="49" t="s">
        <v>7</v>
      </c>
      <c r="N39" s="18">
        <v>3</v>
      </c>
      <c r="O39" s="15"/>
      <c r="P39" s="15"/>
      <c r="Q39" s="15"/>
      <c r="R39" s="15"/>
    </row>
    <row r="40" spans="1:21" x14ac:dyDescent="0.25">
      <c r="A40" s="28"/>
      <c r="B40" s="153" t="s">
        <v>520</v>
      </c>
      <c r="C40" s="23"/>
      <c r="D40" s="25"/>
      <c r="E40" s="25"/>
      <c r="F40" s="25"/>
      <c r="G40" s="25"/>
      <c r="H40" s="25"/>
      <c r="I40" s="25"/>
      <c r="J40" s="25"/>
      <c r="K40" s="29"/>
      <c r="M40" s="49" t="s">
        <v>45</v>
      </c>
      <c r="N40" s="18">
        <v>4</v>
      </c>
      <c r="O40" s="15"/>
      <c r="P40" s="15"/>
      <c r="Q40" s="15"/>
      <c r="R40" s="15"/>
    </row>
    <row r="41" spans="1:21" x14ac:dyDescent="0.25">
      <c r="A41" s="28"/>
      <c r="B41" s="17" t="s">
        <v>140</v>
      </c>
      <c r="C41" s="18">
        <v>1</v>
      </c>
      <c r="D41" s="25"/>
      <c r="E41" s="25"/>
      <c r="F41" s="25"/>
      <c r="G41" s="25"/>
      <c r="H41" s="25"/>
      <c r="I41" s="25"/>
      <c r="J41" s="25"/>
      <c r="K41" s="29"/>
      <c r="M41" s="179" t="s">
        <v>49</v>
      </c>
      <c r="N41" s="18">
        <v>5</v>
      </c>
      <c r="O41" s="15"/>
      <c r="P41" s="15"/>
      <c r="Q41" s="15"/>
      <c r="R41" s="15"/>
    </row>
    <row r="42" spans="1:21" x14ac:dyDescent="0.25">
      <c r="A42" s="28"/>
      <c r="B42" s="17" t="s">
        <v>518</v>
      </c>
      <c r="C42" s="18">
        <v>1</v>
      </c>
      <c r="D42" s="25"/>
      <c r="E42" s="25"/>
      <c r="F42" s="25"/>
      <c r="G42" s="25"/>
      <c r="H42" s="25"/>
      <c r="I42" s="25"/>
      <c r="J42" s="25"/>
      <c r="K42" s="29"/>
      <c r="M42" s="40" t="s">
        <v>146</v>
      </c>
      <c r="N42" s="18">
        <v>6</v>
      </c>
      <c r="O42" s="15"/>
      <c r="P42" s="15"/>
      <c r="Q42" s="15"/>
      <c r="R42" s="15"/>
    </row>
    <row r="43" spans="1:21" x14ac:dyDescent="0.25">
      <c r="A43" s="28"/>
      <c r="B43" s="19" t="s">
        <v>519</v>
      </c>
      <c r="C43" s="20">
        <v>2</v>
      </c>
      <c r="D43" s="25"/>
      <c r="E43" s="25"/>
      <c r="F43" s="25"/>
      <c r="G43" s="25"/>
      <c r="H43" s="25"/>
      <c r="I43" s="25"/>
      <c r="J43" s="25" t="s">
        <v>277</v>
      </c>
      <c r="K43" s="29"/>
      <c r="M43" s="40" t="s">
        <v>149</v>
      </c>
      <c r="N43" s="18">
        <v>7</v>
      </c>
      <c r="O43" s="15"/>
      <c r="P43" s="15"/>
      <c r="Q43" s="15"/>
      <c r="R43" s="15"/>
    </row>
    <row r="44" spans="1:21" x14ac:dyDescent="0.25">
      <c r="A44" s="28"/>
      <c r="B44" s="25"/>
      <c r="C44" s="25"/>
      <c r="D44" s="25"/>
      <c r="E44" s="25"/>
      <c r="F44" s="25"/>
      <c r="G44" s="25"/>
      <c r="H44" s="25"/>
      <c r="I44" s="25"/>
      <c r="J44" s="25"/>
      <c r="K44" s="29"/>
      <c r="M44" s="40" t="s">
        <v>151</v>
      </c>
      <c r="N44" s="18">
        <v>8</v>
      </c>
      <c r="O44" s="15"/>
      <c r="P44" s="15"/>
      <c r="Q44" s="15"/>
      <c r="R44" s="15"/>
    </row>
    <row r="45" spans="1:21" x14ac:dyDescent="0.25">
      <c r="A45" s="28"/>
      <c r="B45" s="34" t="s">
        <v>551</v>
      </c>
      <c r="C45" s="155" t="str">
        <f>INDEX(B36:C38,MATCH(C35,C36:C38,0),1)</f>
        <v>PC40</v>
      </c>
      <c r="D45" s="25" t="str">
        <f>INDEX(B42:C43,MATCH(C41,C42:C43,0),1)</f>
        <v>LX</v>
      </c>
      <c r="E45" s="25"/>
      <c r="F45" s="25"/>
      <c r="G45" s="25"/>
      <c r="H45" s="25"/>
      <c r="I45" s="25"/>
      <c r="J45" s="25"/>
      <c r="K45" s="29"/>
      <c r="M45" s="42" t="s">
        <v>494</v>
      </c>
      <c r="N45" s="18">
        <v>9</v>
      </c>
      <c r="O45" s="15"/>
      <c r="P45" s="15"/>
      <c r="Q45" s="15"/>
      <c r="R45" s="15"/>
    </row>
    <row r="46" spans="1:21" x14ac:dyDescent="0.25">
      <c r="A46" s="28"/>
      <c r="B46" s="25"/>
      <c r="C46" s="25"/>
      <c r="D46" s="25"/>
      <c r="E46" s="25"/>
      <c r="F46" s="25"/>
      <c r="G46" s="25"/>
      <c r="H46" s="25"/>
      <c r="I46" s="25"/>
      <c r="J46" s="25"/>
      <c r="K46" s="29"/>
      <c r="M46" s="42" t="s">
        <v>497</v>
      </c>
      <c r="N46" s="18">
        <v>10</v>
      </c>
      <c r="O46" s="15"/>
      <c r="P46" s="15"/>
      <c r="Q46" s="15"/>
      <c r="R46" s="15"/>
    </row>
    <row r="47" spans="1:21" x14ac:dyDescent="0.25">
      <c r="A47" s="28"/>
      <c r="B47" s="21"/>
      <c r="C47" s="22"/>
      <c r="D47" s="22" t="s">
        <v>523</v>
      </c>
      <c r="E47" s="22" t="s">
        <v>2</v>
      </c>
      <c r="F47" s="22" t="s">
        <v>1</v>
      </c>
      <c r="G47" s="56" t="s">
        <v>564</v>
      </c>
      <c r="H47" s="56" t="s">
        <v>565</v>
      </c>
      <c r="I47" s="22" t="s">
        <v>3</v>
      </c>
      <c r="J47" s="23"/>
      <c r="K47" s="29"/>
      <c r="M47" s="42" t="s">
        <v>499</v>
      </c>
      <c r="N47" s="18">
        <v>11</v>
      </c>
      <c r="O47" s="15"/>
      <c r="P47" s="15"/>
      <c r="Q47" s="15"/>
      <c r="R47" s="15"/>
    </row>
    <row r="48" spans="1:21" x14ac:dyDescent="0.25">
      <c r="A48" s="28"/>
      <c r="B48" s="19" t="s">
        <v>525</v>
      </c>
      <c r="C48" s="156"/>
      <c r="D48" s="24">
        <f>INDEX($E$50:$H$55,MATCH(2,$E$50:$E$55,0),2)</f>
        <v>33</v>
      </c>
      <c r="E48" s="24">
        <f>INDEX($E$50:$H$55,MATCH(2,$E$50:$E$55,0),3)</f>
        <v>30</v>
      </c>
      <c r="F48" s="24">
        <f>INDEX($E$50:$H$55,MATCH(2,$E$50:$E$55,0),4)</f>
        <v>31</v>
      </c>
      <c r="G48" s="24">
        <f>INDEX($E$50:$J$55,MATCH(2,$E$50:$E$55,0),5)</f>
        <v>34</v>
      </c>
      <c r="H48" s="24">
        <f>INDEX($E$50:$J$55,MATCH(2,$E$50:$E$55,0),6)</f>
        <v>35</v>
      </c>
      <c r="I48" s="24">
        <f>INDEX($E$50:$K$55,MATCH(2,$E$50:$E$55,0),7)</f>
        <v>29</v>
      </c>
      <c r="J48" s="20"/>
      <c r="K48" s="29"/>
      <c r="M48" s="42"/>
      <c r="N48" s="18">
        <v>12</v>
      </c>
      <c r="O48" s="15"/>
      <c r="P48" s="15"/>
      <c r="Q48" s="15"/>
      <c r="R48" s="15"/>
    </row>
    <row r="49" spans="1:18" x14ac:dyDescent="0.25">
      <c r="A49" s="28"/>
      <c r="B49" s="21"/>
      <c r="C49" s="22" t="s">
        <v>566</v>
      </c>
      <c r="D49" s="22" t="s">
        <v>567</v>
      </c>
      <c r="E49" s="22" t="s">
        <v>568</v>
      </c>
      <c r="F49" s="22" t="s">
        <v>523</v>
      </c>
      <c r="G49" s="22" t="s">
        <v>2</v>
      </c>
      <c r="H49" s="22" t="s">
        <v>1</v>
      </c>
      <c r="I49" s="56" t="s">
        <v>564</v>
      </c>
      <c r="J49" s="57" t="s">
        <v>565</v>
      </c>
      <c r="K49" s="29" t="s">
        <v>3</v>
      </c>
      <c r="M49" s="42"/>
      <c r="N49" s="18">
        <v>13</v>
      </c>
      <c r="O49" s="15"/>
      <c r="P49" s="15"/>
      <c r="Q49" s="15"/>
      <c r="R49" s="15"/>
    </row>
    <row r="50" spans="1:18" x14ac:dyDescent="0.25">
      <c r="A50" s="28"/>
      <c r="B50" s="35" t="s">
        <v>76</v>
      </c>
      <c r="C50" s="155">
        <f>IF($C$35=1,1,0)</f>
        <v>0</v>
      </c>
      <c r="D50" s="25">
        <f>IF($C$41=1,1,0)</f>
        <v>1</v>
      </c>
      <c r="E50" s="25">
        <f t="shared" ref="E50:E55" si="2">SUM(C50:D50)</f>
        <v>1</v>
      </c>
      <c r="F50" s="25">
        <f>COLUMN(PCdb[PLATE (PC25LX)])</f>
        <v>19</v>
      </c>
      <c r="G50" s="25">
        <f>COLUMN(PCdb[Rin (PC25LX)])</f>
        <v>16</v>
      </c>
      <c r="H50" s="25">
        <f>COLUMN(PCdb[L (PC25LX)])</f>
        <v>17</v>
      </c>
      <c r="I50" s="25">
        <f>COLUMN(PCdb[Beta1 (PC25LX)])</f>
        <v>20</v>
      </c>
      <c r="J50" s="18">
        <f>COLUMN(PCdb[Beta2 (PC25LX)])</f>
        <v>21</v>
      </c>
      <c r="K50" s="29">
        <f>COLUMN(PCdb[LC (PC25LX)])</f>
        <v>15</v>
      </c>
      <c r="M50" s="42"/>
      <c r="N50" s="18">
        <v>14</v>
      </c>
      <c r="O50" s="15"/>
      <c r="P50" s="15"/>
      <c r="Q50" s="15"/>
      <c r="R50" s="15"/>
    </row>
    <row r="51" spans="1:18" x14ac:dyDescent="0.25">
      <c r="A51" s="28"/>
      <c r="B51" s="35" t="s">
        <v>81</v>
      </c>
      <c r="C51" s="155">
        <f>IF($C$35=1,1,0)</f>
        <v>0</v>
      </c>
      <c r="D51" s="25">
        <f>IF($C$41=2,1,0)</f>
        <v>0</v>
      </c>
      <c r="E51" s="25">
        <f t="shared" si="2"/>
        <v>0</v>
      </c>
      <c r="F51" s="25">
        <f>COLUMN(PCdb[PLATE (PC25PA)])</f>
        <v>39</v>
      </c>
      <c r="G51" s="25">
        <f>COLUMN(PCdb[Rin (PC25PA)])</f>
        <v>36</v>
      </c>
      <c r="H51" s="25">
        <f>COLUMN(PCdb[L (PC25PA)])</f>
        <v>37</v>
      </c>
      <c r="I51" s="25">
        <f>COLUMN(PCdb[Beta1 (PC25PA)])</f>
        <v>40</v>
      </c>
      <c r="J51" s="18">
        <f>COLUMN(PCdb[Beta2 (PC25PA)])</f>
        <v>41</v>
      </c>
      <c r="K51" s="29"/>
      <c r="M51" s="42"/>
      <c r="N51" s="18">
        <v>15</v>
      </c>
      <c r="O51" s="15"/>
      <c r="P51" s="15"/>
      <c r="Q51" s="15"/>
      <c r="R51" s="15"/>
    </row>
    <row r="52" spans="1:18" x14ac:dyDescent="0.25">
      <c r="A52" s="28"/>
      <c r="B52" s="35" t="s">
        <v>78</v>
      </c>
      <c r="C52" s="155">
        <f>IF($C$35=2,1,0)</f>
        <v>0</v>
      </c>
      <c r="D52" s="25">
        <f>IF($C$41=1,1,0)</f>
        <v>1</v>
      </c>
      <c r="E52" s="25">
        <f t="shared" si="2"/>
        <v>1</v>
      </c>
      <c r="F52" s="25">
        <f>COLUMN(PCdb[PLATE (PC32LX)])</f>
        <v>26</v>
      </c>
      <c r="G52" s="25">
        <f>COLUMN(PCdb[Rin (PC32LX)])</f>
        <v>23</v>
      </c>
      <c r="H52" s="25">
        <f>COLUMN(PCdb[L (PC32LX)])</f>
        <v>24</v>
      </c>
      <c r="I52" s="25">
        <f>COLUMN(PCdb[Beta1 (PC32LX)])</f>
        <v>27</v>
      </c>
      <c r="J52" s="18">
        <f>COLUMN(PCdb[Beta2 (PC32LX)])</f>
        <v>28</v>
      </c>
      <c r="K52" s="29">
        <f>COLUMN(PCdb[LC (PC32LX)])</f>
        <v>22</v>
      </c>
      <c r="M52" s="42"/>
      <c r="N52" s="18">
        <v>16</v>
      </c>
      <c r="O52" s="15"/>
      <c r="P52" s="15"/>
      <c r="Q52" s="15"/>
      <c r="R52" s="15"/>
    </row>
    <row r="53" spans="1:18" x14ac:dyDescent="0.25">
      <c r="A53" s="28"/>
      <c r="B53" s="35" t="s">
        <v>82</v>
      </c>
      <c r="C53" s="155">
        <f>IF($C$35=2,1,0)</f>
        <v>0</v>
      </c>
      <c r="D53" s="25">
        <f>IF($C$41=2,1,0)</f>
        <v>0</v>
      </c>
      <c r="E53" s="25">
        <f t="shared" si="2"/>
        <v>0</v>
      </c>
      <c r="F53" s="25">
        <f>COLUMN(PCdb[PLATE (PC32PA)])</f>
        <v>45</v>
      </c>
      <c r="G53" s="25">
        <f>COLUMN(PCdb[Rin (PC32PA)])</f>
        <v>42</v>
      </c>
      <c r="H53" s="25">
        <f>COLUMN(PCdb[L (PC32PA)])</f>
        <v>43</v>
      </c>
      <c r="I53" s="25">
        <f>COLUMN(PCdb[Beta1 (PC32PA)])</f>
        <v>46</v>
      </c>
      <c r="J53" s="18">
        <f>COLUMN(PCdb[Beta2 (PC32PA)])</f>
        <v>47</v>
      </c>
      <c r="K53" s="29"/>
      <c r="M53" s="17"/>
      <c r="N53" s="18">
        <v>17</v>
      </c>
      <c r="O53" s="15"/>
      <c r="P53" s="15"/>
      <c r="Q53" s="15"/>
      <c r="R53" s="15"/>
    </row>
    <row r="54" spans="1:18" x14ac:dyDescent="0.25">
      <c r="A54" s="28"/>
      <c r="B54" s="35" t="s">
        <v>80</v>
      </c>
      <c r="C54" s="155">
        <f>IF($C$35=3,1,0)</f>
        <v>1</v>
      </c>
      <c r="D54" s="25">
        <f>IF($C$41=1,1,0)</f>
        <v>1</v>
      </c>
      <c r="E54" s="25">
        <f t="shared" si="2"/>
        <v>2</v>
      </c>
      <c r="F54" s="25">
        <f>COLUMN(PCdb[PLATE (PC40LX)])</f>
        <v>33</v>
      </c>
      <c r="G54" s="25">
        <f>COLUMN(PCdb[Rin (PC40LX)])</f>
        <v>30</v>
      </c>
      <c r="H54" s="25">
        <f>COLUMN(PCdb[L (PC40LX)])</f>
        <v>31</v>
      </c>
      <c r="I54" s="25">
        <f>COLUMN(PCdb[Beta1 (PC40LX)])</f>
        <v>34</v>
      </c>
      <c r="J54" s="18">
        <f>COLUMN(PCdb[Beta2 (PC40LX)])</f>
        <v>35</v>
      </c>
      <c r="K54" s="29">
        <f>COLUMN(PCdb[LC (PC40LX)])</f>
        <v>29</v>
      </c>
      <c r="M54" s="17"/>
      <c r="N54" s="18">
        <v>18</v>
      </c>
      <c r="O54" s="15"/>
      <c r="P54" s="15"/>
      <c r="Q54" s="15"/>
      <c r="R54" s="15"/>
    </row>
    <row r="55" spans="1:18" x14ac:dyDescent="0.25">
      <c r="A55" s="28"/>
      <c r="B55" s="134" t="s">
        <v>83</v>
      </c>
      <c r="C55" s="156">
        <f>IF($C$35=3,1,0)</f>
        <v>1</v>
      </c>
      <c r="D55" s="24">
        <f>IF($C$41=2,1,0)</f>
        <v>0</v>
      </c>
      <c r="E55" s="24">
        <f t="shared" si="2"/>
        <v>1</v>
      </c>
      <c r="F55" s="24">
        <f>COLUMN(PCdb[PLATE (PC40PA)])</f>
        <v>51</v>
      </c>
      <c r="G55" s="24">
        <f>COLUMN(PCdb[Rin (PC40PA)])</f>
        <v>48</v>
      </c>
      <c r="H55" s="24">
        <f>COLUMN(PCdb[L (PC40PA)])</f>
        <v>49</v>
      </c>
      <c r="I55" s="24">
        <f>COLUMN(PCdb[Beta1 (PC40PA)])</f>
        <v>52</v>
      </c>
      <c r="J55" s="20">
        <f>COLUMN(PCdb[Beta2 (PC40PA)])</f>
        <v>53</v>
      </c>
      <c r="K55" s="29"/>
      <c r="M55" s="17"/>
      <c r="N55" s="18">
        <v>19</v>
      </c>
      <c r="O55" s="15"/>
      <c r="P55" s="15"/>
      <c r="Q55" s="15"/>
      <c r="R55" s="15"/>
    </row>
    <row r="56" spans="1:18" ht="15.75" thickBot="1" x14ac:dyDescent="0.3">
      <c r="A56" s="151"/>
      <c r="B56" s="152"/>
      <c r="C56" s="152"/>
      <c r="D56" s="152"/>
      <c r="E56" s="152"/>
      <c r="F56" s="152"/>
      <c r="G56" s="152"/>
      <c r="H56" s="152"/>
      <c r="I56" s="152"/>
      <c r="J56" s="152"/>
      <c r="K56" s="69"/>
      <c r="M56" s="40"/>
      <c r="N56" s="18">
        <v>20</v>
      </c>
      <c r="O56" s="15"/>
      <c r="P56" s="15"/>
      <c r="Q56" s="15"/>
      <c r="R56" s="15"/>
    </row>
    <row r="57" spans="1:18" x14ac:dyDescent="0.25">
      <c r="M57" s="40"/>
      <c r="N57" s="18">
        <v>21</v>
      </c>
      <c r="O57" s="15"/>
      <c r="P57" s="15"/>
      <c r="Q57" s="15"/>
      <c r="R57" s="15"/>
    </row>
    <row r="58" spans="1:18" x14ac:dyDescent="0.25">
      <c r="M58" s="40"/>
      <c r="N58" s="18">
        <v>22</v>
      </c>
      <c r="O58" s="15"/>
      <c r="P58" s="15"/>
      <c r="Q58" s="15"/>
      <c r="R58" s="15"/>
    </row>
    <row r="59" spans="1:18" x14ac:dyDescent="0.25">
      <c r="M59" s="40"/>
      <c r="N59" s="18">
        <v>23</v>
      </c>
    </row>
    <row r="60" spans="1:18" x14ac:dyDescent="0.25">
      <c r="M60" s="42"/>
      <c r="N60" s="18">
        <v>24</v>
      </c>
    </row>
    <row r="61" spans="1:18" x14ac:dyDescent="0.25">
      <c r="M61" s="42"/>
      <c r="N61" s="18">
        <v>25</v>
      </c>
    </row>
    <row r="62" spans="1:18" x14ac:dyDescent="0.25">
      <c r="M62" s="42"/>
      <c r="N62" s="18">
        <v>26</v>
      </c>
    </row>
    <row r="63" spans="1:18" x14ac:dyDescent="0.25">
      <c r="M63" s="42"/>
      <c r="N63" s="18">
        <v>27</v>
      </c>
    </row>
    <row r="64" spans="1:18" x14ac:dyDescent="0.25">
      <c r="M64" s="17"/>
      <c r="N64" s="18">
        <v>28</v>
      </c>
    </row>
    <row r="65" spans="13:14" x14ac:dyDescent="0.25">
      <c r="M65" s="17"/>
      <c r="N65" s="18">
        <v>29</v>
      </c>
    </row>
    <row r="66" spans="13:14" x14ac:dyDescent="0.25">
      <c r="M66" s="17"/>
      <c r="N66" s="18">
        <v>30</v>
      </c>
    </row>
    <row r="67" spans="13:14" x14ac:dyDescent="0.25">
      <c r="M67" s="17"/>
      <c r="N67" s="18">
        <v>31</v>
      </c>
    </row>
    <row r="68" spans="13:14" x14ac:dyDescent="0.25">
      <c r="M68" s="17"/>
      <c r="N68" s="18">
        <v>32</v>
      </c>
    </row>
    <row r="69" spans="13:14" x14ac:dyDescent="0.25">
      <c r="M69" s="17"/>
      <c r="N69" s="18">
        <v>33</v>
      </c>
    </row>
    <row r="70" spans="13:14" x14ac:dyDescent="0.25">
      <c r="M70" s="42"/>
      <c r="N70" s="18">
        <v>34</v>
      </c>
    </row>
    <row r="71" spans="13:14" x14ac:dyDescent="0.25">
      <c r="M71" s="42"/>
      <c r="N71" s="18">
        <v>35</v>
      </c>
    </row>
    <row r="72" spans="13:14" x14ac:dyDescent="0.25">
      <c r="M72" s="42"/>
      <c r="N72" s="18">
        <v>36</v>
      </c>
    </row>
    <row r="73" spans="13:14" x14ac:dyDescent="0.25">
      <c r="M73" s="42"/>
      <c r="N73" s="18">
        <v>37</v>
      </c>
    </row>
    <row r="74" spans="13:14" x14ac:dyDescent="0.25">
      <c r="M74" s="42"/>
      <c r="N74" s="18">
        <v>38</v>
      </c>
    </row>
    <row r="75" spans="13:14" x14ac:dyDescent="0.25">
      <c r="M75" s="41" t="s">
        <v>140</v>
      </c>
      <c r="N75" s="20">
        <v>1</v>
      </c>
    </row>
    <row r="76" spans="13:14" x14ac:dyDescent="0.25">
      <c r="M76" s="15"/>
    </row>
    <row r="77" spans="13:14" ht="30" x14ac:dyDescent="0.25">
      <c r="M77" s="105" t="s">
        <v>489</v>
      </c>
      <c r="N77" s="106"/>
    </row>
    <row r="78" spans="13:14" x14ac:dyDescent="0.25">
      <c r="M78" s="107" t="s">
        <v>159</v>
      </c>
      <c r="N78" s="108">
        <v>1</v>
      </c>
    </row>
    <row r="79" spans="13:14" x14ac:dyDescent="0.25">
      <c r="M79" s="109" t="s">
        <v>103</v>
      </c>
      <c r="N79" s="110">
        <v>2</v>
      </c>
    </row>
    <row r="80" spans="13:14" x14ac:dyDescent="0.25">
      <c r="M80" s="109" t="s">
        <v>104</v>
      </c>
      <c r="N80" s="110">
        <v>3</v>
      </c>
    </row>
    <row r="81" spans="13:14" x14ac:dyDescent="0.25">
      <c r="M81" s="109" t="s">
        <v>105</v>
      </c>
      <c r="N81" s="110">
        <v>4</v>
      </c>
    </row>
    <row r="82" spans="13:14" x14ac:dyDescent="0.25">
      <c r="M82" s="109" t="s">
        <v>7</v>
      </c>
      <c r="N82" s="110">
        <v>5</v>
      </c>
    </row>
    <row r="83" spans="13:14" x14ac:dyDescent="0.25">
      <c r="M83" s="109" t="s">
        <v>45</v>
      </c>
      <c r="N83" s="110">
        <v>6</v>
      </c>
    </row>
    <row r="84" spans="13:14" x14ac:dyDescent="0.25">
      <c r="M84" s="109" t="s">
        <v>49</v>
      </c>
      <c r="N84" s="110">
        <v>7</v>
      </c>
    </row>
    <row r="85" spans="13:14" x14ac:dyDescent="0.25">
      <c r="M85" s="109" t="s">
        <v>106</v>
      </c>
      <c r="N85" s="110">
        <v>8</v>
      </c>
    </row>
    <row r="86" spans="13:14" x14ac:dyDescent="0.25">
      <c r="M86" s="109" t="s">
        <v>107</v>
      </c>
      <c r="N86" s="110">
        <v>9</v>
      </c>
    </row>
    <row r="87" spans="13:14" x14ac:dyDescent="0.25">
      <c r="M87" s="109" t="s">
        <v>108</v>
      </c>
      <c r="N87" s="110">
        <v>10</v>
      </c>
    </row>
    <row r="88" spans="13:14" x14ac:dyDescent="0.25">
      <c r="M88" s="111" t="s">
        <v>143</v>
      </c>
      <c r="N88" s="110">
        <v>11</v>
      </c>
    </row>
    <row r="89" spans="13:14" x14ac:dyDescent="0.25">
      <c r="M89" s="111" t="s">
        <v>144</v>
      </c>
      <c r="N89" s="110">
        <v>12</v>
      </c>
    </row>
    <row r="90" spans="13:14" x14ac:dyDescent="0.25">
      <c r="M90" s="111" t="s">
        <v>145</v>
      </c>
      <c r="N90" s="110">
        <v>13</v>
      </c>
    </row>
    <row r="91" spans="13:14" x14ac:dyDescent="0.25">
      <c r="M91" s="111" t="s">
        <v>146</v>
      </c>
      <c r="N91" s="110">
        <v>14</v>
      </c>
    </row>
    <row r="92" spans="13:14" x14ac:dyDescent="0.25">
      <c r="M92" s="111" t="s">
        <v>147</v>
      </c>
      <c r="N92" s="110">
        <v>15</v>
      </c>
    </row>
    <row r="93" spans="13:14" x14ac:dyDescent="0.25">
      <c r="M93" s="111" t="s">
        <v>148</v>
      </c>
      <c r="N93" s="110">
        <v>16</v>
      </c>
    </row>
    <row r="94" spans="13:14" x14ac:dyDescent="0.25">
      <c r="M94" s="111" t="s">
        <v>149</v>
      </c>
      <c r="N94" s="110">
        <v>17</v>
      </c>
    </row>
    <row r="95" spans="13:14" x14ac:dyDescent="0.25">
      <c r="M95" s="111" t="s">
        <v>150</v>
      </c>
      <c r="N95" s="110">
        <v>18</v>
      </c>
    </row>
    <row r="96" spans="13:14" x14ac:dyDescent="0.25">
      <c r="M96" s="111" t="s">
        <v>151</v>
      </c>
      <c r="N96" s="110">
        <v>19</v>
      </c>
    </row>
    <row r="97" spans="13:14" x14ac:dyDescent="0.25">
      <c r="M97" s="111" t="s">
        <v>152</v>
      </c>
      <c r="N97" s="110">
        <v>20</v>
      </c>
    </row>
    <row r="98" spans="13:14" x14ac:dyDescent="0.25">
      <c r="M98" s="111" t="s">
        <v>153</v>
      </c>
      <c r="N98" s="110">
        <v>21</v>
      </c>
    </row>
    <row r="99" spans="13:14" x14ac:dyDescent="0.25">
      <c r="M99" s="111" t="s">
        <v>154</v>
      </c>
      <c r="N99" s="110">
        <v>22</v>
      </c>
    </row>
    <row r="100" spans="13:14" x14ac:dyDescent="0.25">
      <c r="M100" s="111" t="s">
        <v>155</v>
      </c>
      <c r="N100" s="110">
        <v>23</v>
      </c>
    </row>
    <row r="101" spans="13:14" x14ac:dyDescent="0.25">
      <c r="M101" s="109" t="s">
        <v>156</v>
      </c>
      <c r="N101" s="110">
        <v>24</v>
      </c>
    </row>
    <row r="102" spans="13:14" x14ac:dyDescent="0.25">
      <c r="M102" s="109" t="s">
        <v>491</v>
      </c>
      <c r="N102" s="110">
        <v>25</v>
      </c>
    </row>
    <row r="103" spans="13:14" x14ac:dyDescent="0.25">
      <c r="M103" s="109" t="s">
        <v>492</v>
      </c>
      <c r="N103" s="110">
        <v>26</v>
      </c>
    </row>
    <row r="104" spans="13:14" x14ac:dyDescent="0.25">
      <c r="M104" s="109" t="s">
        <v>493</v>
      </c>
      <c r="N104" s="110">
        <v>27</v>
      </c>
    </row>
    <row r="105" spans="13:14" x14ac:dyDescent="0.25">
      <c r="M105" s="109" t="s">
        <v>494</v>
      </c>
      <c r="N105" s="110">
        <v>28</v>
      </c>
    </row>
    <row r="106" spans="13:14" x14ac:dyDescent="0.25">
      <c r="M106" s="109" t="s">
        <v>495</v>
      </c>
      <c r="N106" s="110">
        <v>29</v>
      </c>
    </row>
    <row r="107" spans="13:14" x14ac:dyDescent="0.25">
      <c r="M107" s="109" t="s">
        <v>496</v>
      </c>
      <c r="N107" s="110">
        <v>30</v>
      </c>
    </row>
    <row r="108" spans="13:14" x14ac:dyDescent="0.25">
      <c r="M108" s="109" t="s">
        <v>497</v>
      </c>
      <c r="N108" s="110">
        <v>31</v>
      </c>
    </row>
    <row r="109" spans="13:14" x14ac:dyDescent="0.25">
      <c r="M109" s="109" t="s">
        <v>498</v>
      </c>
      <c r="N109" s="110">
        <v>32</v>
      </c>
    </row>
    <row r="110" spans="13:14" x14ac:dyDescent="0.25">
      <c r="M110" s="109" t="s">
        <v>499</v>
      </c>
      <c r="N110" s="110">
        <v>33</v>
      </c>
    </row>
    <row r="111" spans="13:14" x14ac:dyDescent="0.25">
      <c r="M111" s="109" t="s">
        <v>500</v>
      </c>
      <c r="N111" s="110">
        <v>34</v>
      </c>
    </row>
    <row r="112" spans="13:14" x14ac:dyDescent="0.25">
      <c r="M112" s="109" t="s">
        <v>501</v>
      </c>
      <c r="N112" s="110">
        <v>35</v>
      </c>
    </row>
    <row r="113" spans="13:23" x14ac:dyDescent="0.25">
      <c r="M113" s="109" t="s">
        <v>502</v>
      </c>
      <c r="N113" s="110">
        <v>36</v>
      </c>
    </row>
    <row r="114" spans="13:23" x14ac:dyDescent="0.25">
      <c r="M114" s="109" t="s">
        <v>503</v>
      </c>
      <c r="N114" s="110">
        <v>37</v>
      </c>
    </row>
    <row r="115" spans="13:23" x14ac:dyDescent="0.25">
      <c r="M115" s="109" t="s">
        <v>504</v>
      </c>
      <c r="N115" s="110">
        <v>38</v>
      </c>
    </row>
    <row r="116" spans="13:23" x14ac:dyDescent="0.25">
      <c r="M116" s="112" t="s">
        <v>140</v>
      </c>
      <c r="N116" s="113">
        <v>1</v>
      </c>
    </row>
    <row r="119" spans="13:23" x14ac:dyDescent="0.25">
      <c r="R119" s="15" t="s">
        <v>490</v>
      </c>
      <c r="S119" s="15">
        <v>0.06</v>
      </c>
      <c r="T119" s="15">
        <v>1.524</v>
      </c>
      <c r="U119" s="15">
        <v>1.25</v>
      </c>
      <c r="V119" s="15">
        <v>80</v>
      </c>
      <c r="W119" s="15">
        <v>0.317</v>
      </c>
    </row>
    <row r="120" spans="13:23" x14ac:dyDescent="0.25">
      <c r="R120" s="15" t="s">
        <v>491</v>
      </c>
      <c r="S120" s="15">
        <v>7.2999999999999995E-2</v>
      </c>
      <c r="T120" s="15">
        <v>1.8540000000000001</v>
      </c>
      <c r="U120" s="15">
        <v>1.55</v>
      </c>
      <c r="V120" s="15">
        <v>72</v>
      </c>
      <c r="W120" s="15">
        <v>0.35299999999999998</v>
      </c>
    </row>
    <row r="121" spans="13:23" x14ac:dyDescent="0.25">
      <c r="R121" s="15" t="s">
        <v>492</v>
      </c>
      <c r="S121" s="15">
        <v>8.5999999999999993E-2</v>
      </c>
      <c r="T121" s="15">
        <v>2.1840000000000002</v>
      </c>
      <c r="U121" s="15">
        <v>1.9</v>
      </c>
      <c r="V121" s="15">
        <v>64</v>
      </c>
      <c r="W121" s="15">
        <v>0.39700000000000002</v>
      </c>
    </row>
    <row r="122" spans="13:23" x14ac:dyDescent="0.25">
      <c r="R122" s="15" t="s">
        <v>493</v>
      </c>
      <c r="S122" s="15">
        <v>9.9000000000000005E-2</v>
      </c>
      <c r="T122" s="15">
        <v>2.5150000000000001</v>
      </c>
      <c r="U122" s="15">
        <v>2.15</v>
      </c>
      <c r="V122" s="15">
        <v>56</v>
      </c>
      <c r="W122" s="15">
        <v>0.45300000000000001</v>
      </c>
    </row>
    <row r="123" spans="13:23" x14ac:dyDescent="0.25">
      <c r="R123" s="15" t="s">
        <v>494</v>
      </c>
      <c r="S123" s="15">
        <v>0.112</v>
      </c>
      <c r="T123" s="15">
        <v>2.8450000000000002</v>
      </c>
      <c r="U123" s="15">
        <v>2.4</v>
      </c>
      <c r="V123" s="15">
        <v>48</v>
      </c>
      <c r="W123" s="15">
        <v>0.52900000000000003</v>
      </c>
    </row>
    <row r="124" spans="13:23" x14ac:dyDescent="0.25">
      <c r="R124" s="15" t="s">
        <v>495</v>
      </c>
      <c r="S124" s="15">
        <v>0.125</v>
      </c>
      <c r="T124" s="15">
        <v>3.1749999999999998</v>
      </c>
      <c r="U124" s="15">
        <v>2.7</v>
      </c>
      <c r="V124" s="15">
        <v>44</v>
      </c>
      <c r="W124" s="15">
        <v>0.57699999999999996</v>
      </c>
    </row>
    <row r="125" spans="13:23" x14ac:dyDescent="0.25">
      <c r="R125" s="15" t="s">
        <v>496</v>
      </c>
      <c r="S125" s="15">
        <v>0.13800000000000001</v>
      </c>
      <c r="T125" s="15">
        <v>3.5049999999999999</v>
      </c>
      <c r="U125" s="15">
        <v>2.95</v>
      </c>
      <c r="V125" s="15">
        <v>40</v>
      </c>
      <c r="W125" s="15">
        <v>0.63500000000000001</v>
      </c>
    </row>
    <row r="126" spans="13:23" x14ac:dyDescent="0.25">
      <c r="R126" s="15" t="s">
        <v>497</v>
      </c>
      <c r="S126" s="15">
        <v>0.16400000000000001</v>
      </c>
      <c r="T126" s="15">
        <v>4.1660000000000004</v>
      </c>
      <c r="U126" s="15">
        <v>3.5</v>
      </c>
      <c r="V126" s="15">
        <v>36</v>
      </c>
      <c r="W126" s="15">
        <v>0.70499999999999996</v>
      </c>
    </row>
    <row r="127" spans="13:23" x14ac:dyDescent="0.25">
      <c r="R127" s="15" t="s">
        <v>498</v>
      </c>
      <c r="S127" s="15">
        <v>0.19</v>
      </c>
      <c r="T127" s="15">
        <v>4.8259999999999996</v>
      </c>
      <c r="U127" s="15">
        <v>4.0999999999999996</v>
      </c>
      <c r="V127" s="15">
        <v>32</v>
      </c>
      <c r="W127" s="15">
        <v>0.79400000000000004</v>
      </c>
    </row>
    <row r="128" spans="13:23" x14ac:dyDescent="0.25">
      <c r="R128" s="15" t="s">
        <v>499</v>
      </c>
      <c r="S128" s="15">
        <v>0.216</v>
      </c>
      <c r="T128" s="15">
        <v>5.4859999999999998</v>
      </c>
      <c r="U128" s="15">
        <v>4.7</v>
      </c>
      <c r="V128" s="15">
        <v>28</v>
      </c>
      <c r="W128" s="15">
        <v>0.90700000000000003</v>
      </c>
    </row>
    <row r="129" spans="18:23" x14ac:dyDescent="0.25">
      <c r="R129" s="15" t="s">
        <v>500</v>
      </c>
      <c r="S129" s="15">
        <v>0.25</v>
      </c>
      <c r="T129" s="15">
        <v>6.35</v>
      </c>
      <c r="U129" s="15">
        <v>5.5</v>
      </c>
      <c r="V129" s="15">
        <v>28</v>
      </c>
      <c r="W129" s="15">
        <v>0.90700000000000003</v>
      </c>
    </row>
    <row r="130" spans="18:23" x14ac:dyDescent="0.25">
      <c r="R130" s="15" t="s">
        <v>501</v>
      </c>
      <c r="S130" s="15">
        <v>0.313</v>
      </c>
      <c r="T130" s="15">
        <v>7.9379999999999997</v>
      </c>
      <c r="U130" s="15">
        <v>6.9</v>
      </c>
      <c r="V130" s="15">
        <v>24</v>
      </c>
      <c r="W130" s="15">
        <v>1.0580000000000001</v>
      </c>
    </row>
    <row r="131" spans="18:23" x14ac:dyDescent="0.25">
      <c r="R131" s="15" t="s">
        <v>502</v>
      </c>
      <c r="S131" s="15">
        <v>0.375</v>
      </c>
      <c r="T131" s="15">
        <v>9.5250000000000004</v>
      </c>
      <c r="U131" s="15">
        <v>8.5</v>
      </c>
      <c r="V131" s="15">
        <v>24</v>
      </c>
      <c r="W131" s="15">
        <v>1.0580000000000001</v>
      </c>
    </row>
    <row r="132" spans="18:23" x14ac:dyDescent="0.25">
      <c r="R132" s="15" t="s">
        <v>503</v>
      </c>
      <c r="S132" s="15">
        <v>0.438</v>
      </c>
      <c r="T132" s="15">
        <v>11.112</v>
      </c>
      <c r="U132" s="15">
        <v>9.9</v>
      </c>
      <c r="V132" s="15">
        <v>20</v>
      </c>
      <c r="W132" s="15">
        <v>1.27</v>
      </c>
    </row>
    <row r="133" spans="18:23" x14ac:dyDescent="0.25">
      <c r="R133" s="15" t="s">
        <v>504</v>
      </c>
      <c r="S133" s="15">
        <v>0.5</v>
      </c>
      <c r="T133" s="15">
        <v>12.7</v>
      </c>
      <c r="U133" s="15">
        <v>11.5</v>
      </c>
      <c r="V133" s="15">
        <v>20</v>
      </c>
      <c r="W133" s="15">
        <v>1.27</v>
      </c>
    </row>
    <row r="134" spans="18:23" x14ac:dyDescent="0.25">
      <c r="R134" s="15" t="s">
        <v>505</v>
      </c>
      <c r="S134" s="15">
        <v>0.56299999999999994</v>
      </c>
      <c r="T134" s="15">
        <v>14.288</v>
      </c>
      <c r="U134" s="15">
        <v>12.9</v>
      </c>
      <c r="V134" s="15">
        <v>18</v>
      </c>
      <c r="W134" s="15">
        <v>1.411</v>
      </c>
    </row>
    <row r="135" spans="18:23" x14ac:dyDescent="0.25">
      <c r="R135" s="15" t="s">
        <v>506</v>
      </c>
      <c r="S135" s="15">
        <v>0.625</v>
      </c>
      <c r="T135" s="15">
        <v>15.875</v>
      </c>
      <c r="U135" s="15">
        <v>14.5</v>
      </c>
      <c r="V135" s="15">
        <v>18</v>
      </c>
      <c r="W135" s="15">
        <v>1.411</v>
      </c>
    </row>
    <row r="136" spans="18:23" x14ac:dyDescent="0.25">
      <c r="R136" s="15" t="s">
        <v>507</v>
      </c>
      <c r="S136" s="15">
        <v>0.75</v>
      </c>
      <c r="T136" s="15">
        <v>19.05</v>
      </c>
      <c r="U136" s="15">
        <v>17.5</v>
      </c>
      <c r="V136" s="15">
        <v>16</v>
      </c>
      <c r="W136" s="15">
        <v>1.587</v>
      </c>
    </row>
    <row r="137" spans="18:23" x14ac:dyDescent="0.25">
      <c r="R137" s="15" t="s">
        <v>508</v>
      </c>
      <c r="S137" s="15">
        <v>0.875</v>
      </c>
      <c r="T137" s="15">
        <v>22.225000000000001</v>
      </c>
      <c r="U137" s="15">
        <v>20.399999999999999</v>
      </c>
      <c r="V137" s="15">
        <v>14</v>
      </c>
      <c r="W137" s="15">
        <v>1.8140000000000001</v>
      </c>
    </row>
    <row r="138" spans="18:23" x14ac:dyDescent="0.25">
      <c r="R138" s="15" t="s">
        <v>509</v>
      </c>
      <c r="S138" s="15">
        <v>1</v>
      </c>
      <c r="T138" s="15">
        <v>25.4</v>
      </c>
      <c r="U138" s="15">
        <v>23.25</v>
      </c>
      <c r="V138" s="15">
        <v>12</v>
      </c>
      <c r="W138" s="15">
        <v>2.117</v>
      </c>
    </row>
    <row r="139" spans="18:23" x14ac:dyDescent="0.25">
      <c r="R139" s="15" t="s">
        <v>510</v>
      </c>
      <c r="S139" s="15">
        <v>1.125</v>
      </c>
      <c r="T139" s="15">
        <v>28.574999999999999</v>
      </c>
      <c r="U139" s="15">
        <v>26.5</v>
      </c>
      <c r="V139" s="15">
        <v>12</v>
      </c>
      <c r="W139" s="15">
        <v>2.117</v>
      </c>
    </row>
    <row r="140" spans="18:23" x14ac:dyDescent="0.25">
      <c r="R140" s="15" t="s">
        <v>511</v>
      </c>
      <c r="S140" s="15">
        <v>1.25</v>
      </c>
      <c r="T140" s="15">
        <v>31.75</v>
      </c>
      <c r="U140" s="15">
        <v>29.5</v>
      </c>
      <c r="V140" s="15">
        <v>12</v>
      </c>
      <c r="W140" s="15">
        <v>2.117</v>
      </c>
    </row>
    <row r="141" spans="18:23" x14ac:dyDescent="0.25">
      <c r="R141" s="15" t="s">
        <v>512</v>
      </c>
      <c r="S141" s="15">
        <v>1.375</v>
      </c>
      <c r="T141" s="15">
        <v>34.924999999999997</v>
      </c>
      <c r="U141" s="15">
        <v>32.75</v>
      </c>
      <c r="V141" s="15">
        <v>12</v>
      </c>
      <c r="W141" s="15">
        <v>2.117</v>
      </c>
    </row>
    <row r="142" spans="18:23" x14ac:dyDescent="0.25">
      <c r="R142" s="15" t="s">
        <v>513</v>
      </c>
      <c r="S142" s="15">
        <v>1.5</v>
      </c>
      <c r="T142" s="15">
        <v>38.1</v>
      </c>
      <c r="U142" s="15">
        <v>36</v>
      </c>
      <c r="V142" s="15">
        <v>12</v>
      </c>
      <c r="W142" s="15">
        <v>2.117</v>
      </c>
    </row>
  </sheetData>
  <mergeCells count="1">
    <mergeCell ref="S25:S38"/>
  </mergeCells>
  <pageMargins left="0.7" right="0.7" top="0.75" bottom="0.75" header="0.3" footer="0.3"/>
  <pageSetup paperSize="9" orientation="portrait" r:id="rId1"/>
  <customProperties>
    <customPr name="workbookAdvencedSettings" r:id="rId2"/>
    <customPr name="workbookExecutionSettings" r:id="rId3"/>
    <customPr name="workbookGatewaySettings" r:id="rId4"/>
  </customProperties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BP335"/>
  <sheetViews>
    <sheetView zoomScaleNormal="100" workbookViewId="0">
      <pane ySplit="3" topLeftCell="A304" activePane="bottomLeft" state="frozen"/>
      <selection activeCell="C3" sqref="C3"/>
      <selection pane="bottomLeft" activeCell="C3" sqref="C3"/>
    </sheetView>
  </sheetViews>
  <sheetFormatPr defaultColWidth="9.140625" defaultRowHeight="15" x14ac:dyDescent="0.25"/>
  <cols>
    <col min="1" max="3" width="9.140625" style="16"/>
    <col min="4" max="4" width="11.5703125" style="16" bestFit="1" customWidth="1"/>
    <col min="5" max="5" width="9.140625" style="16"/>
    <col min="6" max="6" width="7" style="16" bestFit="1" customWidth="1"/>
    <col min="7" max="7" width="9.28515625" style="16" bestFit="1" customWidth="1"/>
    <col min="8" max="8" width="13.5703125" style="16" bestFit="1" customWidth="1"/>
    <col min="9" max="9" width="8.28515625" style="16" customWidth="1"/>
    <col min="10" max="10" width="15.7109375" style="16" bestFit="1" customWidth="1"/>
    <col min="11" max="11" width="18.85546875" style="16" bestFit="1" customWidth="1"/>
    <col min="12" max="12" width="17.28515625" style="16" bestFit="1" customWidth="1"/>
    <col min="13" max="13" width="14.140625" style="16" bestFit="1" customWidth="1"/>
    <col min="14" max="14" width="6.140625" style="16" customWidth="1"/>
    <col min="15" max="15" width="9" style="16" customWidth="1"/>
    <col min="16" max="16" width="8.42578125" style="16" customWidth="1"/>
    <col min="17" max="17" width="8.85546875" style="16" customWidth="1"/>
    <col min="18" max="18" width="7.5703125" style="16" customWidth="1"/>
    <col min="19" max="19" width="9.140625" style="16" customWidth="1"/>
    <col min="20" max="21" width="10.7109375" style="103" customWidth="1"/>
    <col min="22" max="22" width="7.85546875" style="16" customWidth="1"/>
    <col min="23" max="23" width="7" style="16" customWidth="1"/>
    <col min="24" max="24" width="6.5703125" style="16" customWidth="1"/>
    <col min="25" max="25" width="6.85546875" style="16" customWidth="1"/>
    <col min="26" max="26" width="16.5703125" style="16" bestFit="1" customWidth="1"/>
    <col min="27" max="28" width="8.7109375" style="103" customWidth="1"/>
    <col min="29" max="29" width="6.28515625" style="16" customWidth="1"/>
    <col min="30" max="30" width="7.42578125" style="16" customWidth="1"/>
    <col min="31" max="31" width="7.28515625" style="16" customWidth="1"/>
    <col min="32" max="32" width="7.42578125" style="16" customWidth="1"/>
    <col min="33" max="33" width="16.5703125" style="16" bestFit="1" customWidth="1"/>
    <col min="34" max="35" width="9.140625" style="103"/>
    <col min="36" max="36" width="6.85546875" style="16" customWidth="1"/>
    <col min="37" max="37" width="4.28515625" style="16" customWidth="1"/>
    <col min="38" max="38" width="7.7109375" style="16" customWidth="1"/>
    <col min="39" max="39" width="9.140625" style="16" customWidth="1"/>
    <col min="40" max="41" width="9.140625" style="103" customWidth="1"/>
    <col min="42" max="42" width="7.5703125" style="16" customWidth="1"/>
    <col min="43" max="43" width="7.85546875" style="16" customWidth="1"/>
    <col min="44" max="44" width="9.42578125" style="16" customWidth="1"/>
    <col min="45" max="45" width="16.85546875" style="16" bestFit="1" customWidth="1"/>
    <col min="46" max="47" width="8.5703125" style="103" customWidth="1"/>
    <col min="48" max="48" width="6.28515625" style="16" customWidth="1"/>
    <col min="49" max="49" width="6.42578125" style="16" customWidth="1"/>
    <col min="50" max="50" width="8" style="16" customWidth="1"/>
    <col min="51" max="51" width="11" style="16" customWidth="1"/>
    <col min="52" max="53" width="9.28515625" style="103" customWidth="1"/>
    <col min="54" max="59" width="9.140625" style="16"/>
    <col min="60" max="60" width="16.28515625" style="16" bestFit="1" customWidth="1"/>
    <col min="61" max="67" width="9.140625" style="16"/>
    <col min="68" max="68" width="6.140625" style="16" customWidth="1"/>
    <col min="69" max="16384" width="9.140625" style="16"/>
  </cols>
  <sheetData>
    <row r="1" spans="1:68" s="25" customFormat="1" x14ac:dyDescent="0.25">
      <c r="A1" s="197" t="s">
        <v>268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O1" s="198" t="s">
        <v>95</v>
      </c>
      <c r="P1" s="199"/>
      <c r="Q1" s="199"/>
      <c r="R1" s="199"/>
      <c r="S1" s="199"/>
      <c r="T1" s="199"/>
      <c r="U1" s="200"/>
      <c r="V1" s="201" t="s">
        <v>94</v>
      </c>
      <c r="W1" s="202"/>
      <c r="X1" s="202"/>
      <c r="Y1" s="202"/>
      <c r="Z1" s="202"/>
      <c r="AA1" s="202"/>
      <c r="AB1" s="203"/>
      <c r="AC1" s="194" t="s">
        <v>96</v>
      </c>
      <c r="AD1" s="195"/>
      <c r="AE1" s="195"/>
      <c r="AF1" s="195"/>
      <c r="AG1" s="195"/>
      <c r="AH1" s="195"/>
      <c r="AI1" s="204"/>
      <c r="AJ1" s="198" t="s">
        <v>97</v>
      </c>
      <c r="AK1" s="199"/>
      <c r="AL1" s="199"/>
      <c r="AM1" s="199"/>
      <c r="AN1" s="158"/>
      <c r="AO1" s="158"/>
      <c r="AP1" s="201" t="s">
        <v>98</v>
      </c>
      <c r="AQ1" s="202"/>
      <c r="AR1" s="202"/>
      <c r="AS1" s="202"/>
      <c r="AT1" s="202"/>
      <c r="AU1" s="203"/>
      <c r="AV1" s="194" t="s">
        <v>99</v>
      </c>
      <c r="AW1" s="195"/>
      <c r="AX1" s="195"/>
      <c r="AY1" s="195"/>
      <c r="AZ1" s="157"/>
      <c r="BA1" s="157"/>
      <c r="BB1" s="196" t="s">
        <v>266</v>
      </c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</row>
    <row r="3" spans="1:68" ht="15.75" thickBot="1" x14ac:dyDescent="0.3">
      <c r="A3" s="5" t="s">
        <v>41</v>
      </c>
      <c r="B3" s="8" t="s">
        <v>291</v>
      </c>
      <c r="C3" s="8" t="s">
        <v>18</v>
      </c>
      <c r="D3" s="8" t="s">
        <v>51</v>
      </c>
      <c r="E3" s="8" t="s">
        <v>42</v>
      </c>
      <c r="F3" s="8" t="s">
        <v>43</v>
      </c>
      <c r="G3" s="8" t="s">
        <v>63</v>
      </c>
      <c r="H3" s="8" t="s">
        <v>64</v>
      </c>
      <c r="I3" s="8" t="s">
        <v>66</v>
      </c>
      <c r="J3" s="8" t="s">
        <v>68</v>
      </c>
      <c r="K3" s="8" t="s">
        <v>70</v>
      </c>
      <c r="L3" s="8" t="s">
        <v>71</v>
      </c>
      <c r="M3" s="8" t="s">
        <v>74</v>
      </c>
      <c r="N3" s="5" t="s">
        <v>44</v>
      </c>
      <c r="O3" s="16" t="s">
        <v>50</v>
      </c>
      <c r="P3" s="16" t="s">
        <v>52</v>
      </c>
      <c r="Q3" s="16" t="s">
        <v>53</v>
      </c>
      <c r="R3" s="16" t="s">
        <v>127</v>
      </c>
      <c r="S3" s="16" t="s">
        <v>271</v>
      </c>
      <c r="T3" s="103" t="s">
        <v>552</v>
      </c>
      <c r="U3" s="103" t="s">
        <v>553</v>
      </c>
      <c r="V3" s="16" t="s">
        <v>54</v>
      </c>
      <c r="W3" s="16" t="s">
        <v>55</v>
      </c>
      <c r="X3" s="16" t="s">
        <v>56</v>
      </c>
      <c r="Y3" s="16" t="s">
        <v>128</v>
      </c>
      <c r="Z3" s="16" t="s">
        <v>272</v>
      </c>
      <c r="AA3" s="103" t="s">
        <v>555</v>
      </c>
      <c r="AB3" s="103" t="s">
        <v>554</v>
      </c>
      <c r="AC3" s="16" t="s">
        <v>57</v>
      </c>
      <c r="AD3" s="16" t="s">
        <v>59</v>
      </c>
      <c r="AE3" s="16" t="s">
        <v>58</v>
      </c>
      <c r="AF3" s="16" t="s">
        <v>129</v>
      </c>
      <c r="AG3" s="16" t="s">
        <v>273</v>
      </c>
      <c r="AH3" s="103" t="s">
        <v>556</v>
      </c>
      <c r="AI3" s="103" t="s">
        <v>557</v>
      </c>
      <c r="AJ3" s="16" t="s">
        <v>88</v>
      </c>
      <c r="AK3" s="16" t="s">
        <v>89</v>
      </c>
      <c r="AL3" s="16" t="s">
        <v>131</v>
      </c>
      <c r="AM3" s="16" t="s">
        <v>274</v>
      </c>
      <c r="AN3" s="103" t="s">
        <v>558</v>
      </c>
      <c r="AO3" s="103" t="s">
        <v>559</v>
      </c>
      <c r="AP3" s="16" t="s">
        <v>90</v>
      </c>
      <c r="AQ3" s="16" t="s">
        <v>91</v>
      </c>
      <c r="AR3" s="16" t="s">
        <v>132</v>
      </c>
      <c r="AS3" s="16" t="s">
        <v>275</v>
      </c>
      <c r="AT3" s="103" t="s">
        <v>560</v>
      </c>
      <c r="AU3" s="103" t="s">
        <v>561</v>
      </c>
      <c r="AV3" s="16" t="s">
        <v>92</v>
      </c>
      <c r="AW3" s="16" t="s">
        <v>93</v>
      </c>
      <c r="AX3" s="16" t="s">
        <v>133</v>
      </c>
      <c r="AY3" s="16" t="s">
        <v>276</v>
      </c>
      <c r="AZ3" s="103" t="s">
        <v>562</v>
      </c>
      <c r="BA3" s="103" t="s">
        <v>563</v>
      </c>
      <c r="BB3" s="37" t="s">
        <v>182</v>
      </c>
      <c r="BC3" s="37" t="s">
        <v>183</v>
      </c>
      <c r="BD3" s="37" t="s">
        <v>184</v>
      </c>
      <c r="BE3" s="37" t="s">
        <v>185</v>
      </c>
      <c r="BF3" s="37" t="s">
        <v>186</v>
      </c>
      <c r="BG3" s="37" t="s">
        <v>187</v>
      </c>
      <c r="BH3" s="37" t="s">
        <v>188</v>
      </c>
      <c r="BI3" s="37" t="s">
        <v>195</v>
      </c>
      <c r="BJ3" s="37" t="s">
        <v>198</v>
      </c>
      <c r="BK3" s="37" t="s">
        <v>200</v>
      </c>
      <c r="BL3" s="16" t="s">
        <v>201</v>
      </c>
      <c r="BM3" s="16" t="s">
        <v>202</v>
      </c>
      <c r="BN3" s="16" t="s">
        <v>267</v>
      </c>
      <c r="BO3" s="16" t="s">
        <v>269</v>
      </c>
      <c r="BP3" s="38"/>
    </row>
    <row r="4" spans="1:68" ht="15.75" thickTop="1" x14ac:dyDescent="0.25">
      <c r="A4" s="7">
        <v>1</v>
      </c>
      <c r="B4" s="12">
        <v>75</v>
      </c>
      <c r="C4" s="12">
        <v>60</v>
      </c>
      <c r="D4" s="12">
        <v>4</v>
      </c>
      <c r="E4" s="12">
        <v>14</v>
      </c>
      <c r="F4" s="12">
        <v>30</v>
      </c>
      <c r="G4" s="12">
        <v>70</v>
      </c>
      <c r="H4" s="12" t="s">
        <v>87</v>
      </c>
      <c r="I4" s="12">
        <v>6.9</v>
      </c>
      <c r="J4" s="12" t="s">
        <v>45</v>
      </c>
      <c r="K4" s="12" t="s">
        <v>87</v>
      </c>
      <c r="L4" s="12" t="s">
        <v>87</v>
      </c>
      <c r="M4" s="12">
        <v>4</v>
      </c>
      <c r="N4" s="38" t="s">
        <v>45</v>
      </c>
      <c r="O4" s="38" t="s">
        <v>87</v>
      </c>
      <c r="P4" s="38" t="s">
        <v>87</v>
      </c>
      <c r="Q4" s="38" t="s">
        <v>87</v>
      </c>
      <c r="R4" s="38" t="s">
        <v>87</v>
      </c>
      <c r="S4" s="38" t="s">
        <v>87</v>
      </c>
      <c r="T4" s="38" t="s">
        <v>87</v>
      </c>
      <c r="U4" s="38" t="s">
        <v>87</v>
      </c>
      <c r="V4" s="38">
        <v>45.2</v>
      </c>
      <c r="W4" s="38">
        <v>32.5</v>
      </c>
      <c r="X4" s="38">
        <v>0</v>
      </c>
      <c r="Y4" s="38" t="s">
        <v>130</v>
      </c>
      <c r="Z4" s="38" t="s">
        <v>172</v>
      </c>
      <c r="AA4" s="38">
        <v>45</v>
      </c>
      <c r="AB4" s="38">
        <v>90</v>
      </c>
      <c r="AC4" s="38">
        <v>48.7</v>
      </c>
      <c r="AD4" s="38">
        <v>32.5</v>
      </c>
      <c r="AE4" s="38">
        <v>0</v>
      </c>
      <c r="AF4" s="38" t="s">
        <v>130</v>
      </c>
      <c r="AG4" s="38" t="s">
        <v>172</v>
      </c>
      <c r="AH4" s="38">
        <v>45</v>
      </c>
      <c r="AI4" s="38">
        <v>90</v>
      </c>
      <c r="AJ4" s="38" t="s">
        <v>87</v>
      </c>
      <c r="AK4" s="38" t="s">
        <v>87</v>
      </c>
      <c r="AL4" s="38" t="s">
        <v>87</v>
      </c>
      <c r="AM4" s="38" t="s">
        <v>87</v>
      </c>
      <c r="AN4" s="38" t="s">
        <v>87</v>
      </c>
      <c r="AO4" s="38" t="s">
        <v>87</v>
      </c>
      <c r="AP4" s="38">
        <v>33</v>
      </c>
      <c r="AQ4" s="38">
        <v>0</v>
      </c>
      <c r="AR4" s="38" t="s">
        <v>130</v>
      </c>
      <c r="AS4" s="38" t="s">
        <v>177</v>
      </c>
      <c r="AT4" s="38">
        <v>45</v>
      </c>
      <c r="AU4" s="38">
        <v>90</v>
      </c>
      <c r="AV4" s="38">
        <v>33</v>
      </c>
      <c r="AW4" s="38">
        <v>0</v>
      </c>
      <c r="AX4" s="38" t="s">
        <v>130</v>
      </c>
      <c r="AY4" s="38" t="s">
        <v>176</v>
      </c>
      <c r="AZ4" s="38">
        <v>45</v>
      </c>
      <c r="BA4" s="38">
        <v>90</v>
      </c>
      <c r="BB4" s="38">
        <f>IF(AND(PCdb[[#This Row],[BCD]]&gt;UIoptions!$S$10,PCdb[[#This Row],[BCD]]&lt;UIoptions!$T$10),1,0)</f>
        <v>1</v>
      </c>
      <c r="BC4" s="38">
        <f>IF(AND(PCdb[[#This Row],[PD]]&gt;UIoptions!$S$11,PCdb[[#This Row],[PD]]&lt;UIoptions!$T$11),1,0)</f>
        <v>1</v>
      </c>
      <c r="BD4" s="38">
        <f>IF(AND(UIoptions!$P$14&lt;=PCdb[[#This Row],[PL (MAX)]],UIoptions!$P$14&gt;UIoptions!$S$14),1,0)</f>
        <v>1</v>
      </c>
      <c r="BE4" s="38">
        <f>IF(AND(PCdb[[#This Row],[SD]]&gt;UIoptions!$S$12,PCdb[[#This Row],[SD]]&lt;UIoptions!$T$12),1,0)</f>
        <v>0</v>
      </c>
      <c r="BF4" s="38">
        <f>IF(AND(PCdb[[#This Row],[SL]]&gt;UIoptions!$S$13,PCdb[[#This Row],[SL]]&lt;UIoptions!$T$13),1,0)</f>
        <v>0</v>
      </c>
      <c r="BG4" s="38">
        <f>IF(UIoptions!$N$35=1,IF(AND(PCdb[[#This Row],[SQ_SZ]]&gt;UIoptions!$S$15,PCdb[[#This Row],[SQ_SZ]]&lt;UIoptions!$T$15),1,0),1)</f>
        <v>1</v>
      </c>
      <c r="BH4" s="38">
        <f>IF(UIoptions!$N$35=2,IF(AND(PCdb[[#This Row],[ROUND_D]]&gt;UIoptions!$S$15,PCdb[[#This Row],[ROUND_D]]&lt;UIoptions!$T$15),1,0),1)</f>
        <v>1</v>
      </c>
      <c r="BI4" s="38">
        <f>IF(UIoptions!$N$75&lt;&gt;1,1,IF(AND(PCdb[[#This Row],[FL]]&gt;UIoptions!$S$16,PCdb[[#This Row],[FL]]&lt;UIoptions!$T$16),1,0))</f>
        <v>0</v>
      </c>
      <c r="BJ4" s="38" t="e">
        <f>IF(OR(UIoptions!$Q$18=PCdb[[#This Row],[THRU_SCREW]],UIoptions!$Q$18="NA"),1,0)</f>
        <v>#N/A</v>
      </c>
      <c r="BK4" s="38">
        <f>IF(OR(UIoptions!$P$19=PCdb[[#This Row],[THREAD_SZ]],UIoptions!$P$19="NA"),1,0)</f>
        <v>1</v>
      </c>
      <c r="BL4" s="38">
        <f>IF(UIoptions!$N$75=1,1,IF(AND(PCdb[[#This Row],[THREAD_L]]&gt;UIoptions!$S$17,PCdb[[#This Row],[THREAD_L]]&lt;UIoptions!$T$17),1,0))</f>
        <v>1</v>
      </c>
      <c r="BM4" s="38" t="e">
        <f>IF(SUM(PCdb[[#This Row],[BDhit]:[THREAD_Lhit]])=11,1,0)</f>
        <v>#N/A</v>
      </c>
      <c r="BN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75604143070NA6.9M5NANA4</v>
      </c>
      <c r="BO4" s="38" t="e">
        <f>SUM(PCdb[[#This Row],[BDhit]:[THREAD_Lhit]])</f>
        <v>#N/A</v>
      </c>
      <c r="BP4" s="38"/>
    </row>
    <row r="5" spans="1:68" x14ac:dyDescent="0.25">
      <c r="A5" s="7">
        <v>2</v>
      </c>
      <c r="B5" s="93">
        <v>100</v>
      </c>
      <c r="C5" s="93">
        <v>80</v>
      </c>
      <c r="D5" s="93">
        <v>4</v>
      </c>
      <c r="E5" s="93">
        <v>16</v>
      </c>
      <c r="F5" s="93">
        <v>40</v>
      </c>
      <c r="G5" s="93">
        <v>89.4</v>
      </c>
      <c r="H5" s="93" t="s">
        <v>87</v>
      </c>
      <c r="I5" s="93">
        <v>9.9</v>
      </c>
      <c r="J5" s="93" t="s">
        <v>49</v>
      </c>
      <c r="K5" s="93" t="s">
        <v>87</v>
      </c>
      <c r="L5" s="93" t="s">
        <v>87</v>
      </c>
      <c r="M5" s="93">
        <v>4</v>
      </c>
      <c r="N5" s="38" t="s">
        <v>49</v>
      </c>
      <c r="O5" s="38" t="s">
        <v>87</v>
      </c>
      <c r="P5" s="38" t="s">
        <v>87</v>
      </c>
      <c r="Q5" s="38" t="s">
        <v>87</v>
      </c>
      <c r="R5" s="38" t="s">
        <v>87</v>
      </c>
      <c r="S5" s="38" t="s">
        <v>87</v>
      </c>
      <c r="T5" s="38" t="s">
        <v>87</v>
      </c>
      <c r="U5" s="38" t="s">
        <v>87</v>
      </c>
      <c r="V5" s="38" t="s">
        <v>87</v>
      </c>
      <c r="W5" s="38" t="s">
        <v>87</v>
      </c>
      <c r="X5" s="38" t="s">
        <v>87</v>
      </c>
      <c r="Y5" s="38" t="s">
        <v>87</v>
      </c>
      <c r="Z5" s="38" t="s">
        <v>87</v>
      </c>
      <c r="AA5" s="38" t="s">
        <v>87</v>
      </c>
      <c r="AB5" s="38" t="s">
        <v>87</v>
      </c>
      <c r="AC5" s="25">
        <v>45.2</v>
      </c>
      <c r="AD5" s="38">
        <v>42</v>
      </c>
      <c r="AE5" s="38" t="s">
        <v>87</v>
      </c>
      <c r="AF5" s="38" t="s">
        <v>130</v>
      </c>
      <c r="AG5" s="38" t="s">
        <v>172</v>
      </c>
      <c r="AH5" s="38">
        <v>45</v>
      </c>
      <c r="AI5" s="38">
        <v>90</v>
      </c>
      <c r="AJ5" s="38" t="s">
        <v>87</v>
      </c>
      <c r="AK5" s="38" t="s">
        <v>87</v>
      </c>
      <c r="AL5" s="38" t="s">
        <v>87</v>
      </c>
      <c r="AM5" s="38" t="s">
        <v>87</v>
      </c>
      <c r="AN5" s="38" t="s">
        <v>87</v>
      </c>
      <c r="AO5" s="38" t="s">
        <v>87</v>
      </c>
      <c r="AP5" s="38" t="s">
        <v>87</v>
      </c>
      <c r="AQ5" s="38" t="s">
        <v>87</v>
      </c>
      <c r="AR5" s="38" t="s">
        <v>87</v>
      </c>
      <c r="AS5" s="38" t="s">
        <v>87</v>
      </c>
      <c r="AT5" s="38" t="s">
        <v>87</v>
      </c>
      <c r="AU5" s="38" t="s">
        <v>87</v>
      </c>
      <c r="AV5" s="38">
        <v>41</v>
      </c>
      <c r="AW5" s="38">
        <v>0</v>
      </c>
      <c r="AX5" s="38" t="s">
        <v>130</v>
      </c>
      <c r="AY5" s="38" t="s">
        <v>177</v>
      </c>
      <c r="AZ5" s="38">
        <v>45</v>
      </c>
      <c r="BA5" s="38">
        <v>90</v>
      </c>
      <c r="BB5" s="38">
        <f>IF(AND(PCdb[[#This Row],[BCD]]&gt;UIoptions!$S$10,PCdb[[#This Row],[BCD]]&lt;UIoptions!$T$10),1,0)</f>
        <v>0</v>
      </c>
      <c r="BC5" s="38">
        <f>IF(AND(PCdb[[#This Row],[PD]]&gt;UIoptions!$S$11,PCdb[[#This Row],[PD]]&lt;UIoptions!$T$11),1,0)</f>
        <v>0</v>
      </c>
      <c r="BD5" s="38">
        <f>IF(AND(UIoptions!$P$14&lt;=PCdb[[#This Row],[PL (MAX)]],UIoptions!$P$14&gt;UIoptions!$S$14),1,0)</f>
        <v>1</v>
      </c>
      <c r="BE5" s="38">
        <f>IF(AND(PCdb[[#This Row],[SD]]&gt;UIoptions!$S$12,PCdb[[#This Row],[SD]]&lt;UIoptions!$T$12),1,0)</f>
        <v>0</v>
      </c>
      <c r="BF5" s="38">
        <f>IF(AND(PCdb[[#This Row],[SL]]&gt;UIoptions!$S$13,PCdb[[#This Row],[SL]]&lt;UIoptions!$T$13),1,0)</f>
        <v>0</v>
      </c>
      <c r="BG5" s="38">
        <f>IF(UIoptions!$N$35=1,IF(AND(PCdb[[#This Row],[SQ_SZ]]&gt;UIoptions!$S$15,PCdb[[#This Row],[SQ_SZ]]&lt;UIoptions!$T$15),1,0),1)</f>
        <v>0</v>
      </c>
      <c r="BH5" s="38">
        <f>IF(UIoptions!$N$35=2,IF(AND(PCdb[[#This Row],[ROUND_D]]&gt;UIoptions!$S$15,PCdb[[#This Row],[ROUND_D]]&lt;UIoptions!$T$15),1,0),1)</f>
        <v>1</v>
      </c>
      <c r="BI5" s="38">
        <f>IF(UIoptions!$N$75&lt;&gt;1,1,IF(AND(PCdb[[#This Row],[FL]]&gt;UIoptions!$S$16,PCdb[[#This Row],[FL]]&lt;UIoptions!$T$16),1,0))</f>
        <v>0</v>
      </c>
      <c r="BJ5" s="38" t="e">
        <f>IF(OR(UIoptions!$Q$18=PCdb[[#This Row],[THRU_SCREW]],UIoptions!$Q$18="NA"),1,0)</f>
        <v>#N/A</v>
      </c>
      <c r="BK5" s="38">
        <f>IF(OR(UIoptions!$P$19=PCdb[[#This Row],[THREAD_SZ]],UIoptions!$P$19="NA"),1,0)</f>
        <v>1</v>
      </c>
      <c r="BL5" s="38">
        <f>IF(UIoptions!$N$75=1,1,IF(AND(PCdb[[#This Row],[THREAD_L]]&gt;UIoptions!$S$17,PCdb[[#This Row],[THREAD_L]]&lt;UIoptions!$T$17),1,0))</f>
        <v>1</v>
      </c>
      <c r="BM5" s="38" t="e">
        <f>IF(SUM(PCdb[[#This Row],[BDhit]:[THREAD_Lhit]])=11,1,0)</f>
        <v>#N/A</v>
      </c>
      <c r="BN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100804164089.4NA9.9M6NANA4</v>
      </c>
      <c r="BO5" s="38" t="e">
        <f>SUM(PCdb[[#This Row],[BDhit]:[THREAD_Lhit]])</f>
        <v>#N/A</v>
      </c>
      <c r="BP5" s="38"/>
    </row>
    <row r="6" spans="1:68" x14ac:dyDescent="0.25">
      <c r="A6" s="7">
        <v>3</v>
      </c>
      <c r="B6" s="12">
        <v>63</v>
      </c>
      <c r="C6" s="12">
        <v>40</v>
      </c>
      <c r="D6" s="12">
        <v>4</v>
      </c>
      <c r="E6" s="12">
        <v>9</v>
      </c>
      <c r="F6" s="12">
        <v>20</v>
      </c>
      <c r="G6" s="12">
        <v>55</v>
      </c>
      <c r="H6" s="12" t="s">
        <v>87</v>
      </c>
      <c r="I6" s="12">
        <v>9</v>
      </c>
      <c r="J6" s="12" t="s">
        <v>45</v>
      </c>
      <c r="K6" s="12" t="s">
        <v>87</v>
      </c>
      <c r="L6" s="12" t="s">
        <v>87</v>
      </c>
      <c r="M6" s="12">
        <v>4</v>
      </c>
      <c r="N6" s="38" t="s">
        <v>45</v>
      </c>
      <c r="O6" s="38">
        <v>38.700000000000003</v>
      </c>
      <c r="P6" s="38">
        <v>22</v>
      </c>
      <c r="Q6" s="38" t="s">
        <v>87</v>
      </c>
      <c r="R6" s="38" t="s">
        <v>130</v>
      </c>
      <c r="S6" s="38" t="s">
        <v>172</v>
      </c>
      <c r="T6" s="38">
        <v>45</v>
      </c>
      <c r="U6" s="38">
        <v>90</v>
      </c>
      <c r="V6" s="38">
        <v>45.2</v>
      </c>
      <c r="W6" s="38">
        <v>25.5</v>
      </c>
      <c r="X6" s="38">
        <v>0</v>
      </c>
      <c r="Y6" s="38" t="s">
        <v>130</v>
      </c>
      <c r="Z6" s="38" t="s">
        <v>172</v>
      </c>
      <c r="AA6" s="38">
        <v>25</v>
      </c>
      <c r="AB6" s="38">
        <v>90</v>
      </c>
      <c r="AC6" s="38">
        <v>48.7</v>
      </c>
      <c r="AD6" s="38">
        <v>0</v>
      </c>
      <c r="AE6" s="38">
        <v>45</v>
      </c>
      <c r="AF6" s="38" t="s">
        <v>130</v>
      </c>
      <c r="AG6" s="38" t="s">
        <v>171</v>
      </c>
      <c r="AH6" s="38">
        <v>45</v>
      </c>
      <c r="AI6" s="38">
        <v>90</v>
      </c>
      <c r="AJ6" s="38">
        <v>22</v>
      </c>
      <c r="AK6" s="38" t="s">
        <v>87</v>
      </c>
      <c r="AL6" s="38" t="s">
        <v>130</v>
      </c>
      <c r="AM6" s="38" t="s">
        <v>177</v>
      </c>
      <c r="AN6" s="38">
        <v>45</v>
      </c>
      <c r="AO6" s="38">
        <v>90</v>
      </c>
      <c r="AP6" s="38">
        <v>25.5</v>
      </c>
      <c r="AQ6" s="38">
        <v>0</v>
      </c>
      <c r="AR6" s="38" t="s">
        <v>130</v>
      </c>
      <c r="AS6" s="38" t="s">
        <v>176</v>
      </c>
      <c r="AT6" s="38">
        <v>45</v>
      </c>
      <c r="AU6" s="38">
        <v>90</v>
      </c>
      <c r="AV6" s="38"/>
      <c r="AW6" s="38"/>
      <c r="AX6" s="38"/>
      <c r="AY6" s="38"/>
      <c r="AZ6" s="38"/>
      <c r="BA6" s="38"/>
      <c r="BB6" s="38">
        <f>IF(AND(PCdb[[#This Row],[BCD]]&gt;UIoptions!$S$10,PCdb[[#This Row],[BCD]]&lt;UIoptions!$T$10),1,0)</f>
        <v>0</v>
      </c>
      <c r="BC6" s="38">
        <f>IF(AND(PCdb[[#This Row],[PD]]&gt;UIoptions!$S$11,PCdb[[#This Row],[PD]]&lt;UIoptions!$T$11),1,0)</f>
        <v>0</v>
      </c>
      <c r="BD6" s="38">
        <f>IF(AND(UIoptions!$P$14&lt;=PCdb[[#This Row],[PL (MAX)]],UIoptions!$P$14&gt;UIoptions!$S$14),1,0)</f>
        <v>1</v>
      </c>
      <c r="BE6" s="38">
        <f>IF(AND(PCdb[[#This Row],[SD]]&gt;UIoptions!$S$12,PCdb[[#This Row],[SD]]&lt;UIoptions!$T$12),1,0)</f>
        <v>0</v>
      </c>
      <c r="BF6" s="38">
        <f>IF(AND(PCdb[[#This Row],[SL]]&gt;UIoptions!$S$13,PCdb[[#This Row],[SL]]&lt;UIoptions!$T$13),1,0)</f>
        <v>0</v>
      </c>
      <c r="BG6" s="38">
        <f>IF(UIoptions!$N$35=1,IF(AND(PCdb[[#This Row],[SQ_SZ]]&gt;UIoptions!$S$15,PCdb[[#This Row],[SQ_SZ]]&lt;UIoptions!$T$15),1,0),1)</f>
        <v>0</v>
      </c>
      <c r="BH6" s="38">
        <f>IF(UIoptions!$N$35=2,IF(AND(PCdb[[#This Row],[ROUND_D]]&gt;UIoptions!$S$15,PCdb[[#This Row],[ROUND_D]]&lt;UIoptions!$T$15),1,0),1)</f>
        <v>1</v>
      </c>
      <c r="BI6" s="38">
        <f>IF(UIoptions!$N$75&lt;&gt;1,1,IF(AND(PCdb[[#This Row],[FL]]&gt;UIoptions!$S$16,PCdb[[#This Row],[FL]]&lt;UIoptions!$T$16),1,0))</f>
        <v>0</v>
      </c>
      <c r="BJ6" s="38" t="e">
        <f>IF(OR(UIoptions!$Q$18=PCdb[[#This Row],[THRU_SCREW]],UIoptions!$Q$18="NA"),1,0)</f>
        <v>#N/A</v>
      </c>
      <c r="BK6" s="38">
        <f>IF(OR(UIoptions!$P$19=PCdb[[#This Row],[THREAD_SZ]],UIoptions!$P$19="NA"),1,0)</f>
        <v>1</v>
      </c>
      <c r="BL6" s="38">
        <f>IF(UIoptions!$N$75=1,1,IF(AND(PCdb[[#This Row],[THREAD_L]]&gt;UIoptions!$S$17,PCdb[[#This Row],[THREAD_L]]&lt;UIoptions!$T$17),1,0))</f>
        <v>1</v>
      </c>
      <c r="BM6" s="38" t="e">
        <f>IF(SUM(PCdb[[#This Row],[BDhit]:[THREAD_Lhit]])=11,1,0)</f>
        <v>#N/A</v>
      </c>
      <c r="BN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6340492055NA9M5NANA4</v>
      </c>
      <c r="BO6" s="38" t="e">
        <f>SUM(PCdb[[#This Row],[BDhit]:[THREAD_Lhit]])</f>
        <v>#N/A</v>
      </c>
      <c r="BP6" s="38"/>
    </row>
    <row r="7" spans="1:68" x14ac:dyDescent="0.25">
      <c r="A7" s="7">
        <v>4</v>
      </c>
      <c r="B7" s="12">
        <v>63</v>
      </c>
      <c r="C7" s="12">
        <v>40</v>
      </c>
      <c r="D7" s="12">
        <v>4</v>
      </c>
      <c r="E7" s="12">
        <v>9</v>
      </c>
      <c r="F7" s="12">
        <v>20</v>
      </c>
      <c r="G7" s="12">
        <v>58</v>
      </c>
      <c r="H7" s="12" t="s">
        <v>87</v>
      </c>
      <c r="I7" s="12">
        <v>7</v>
      </c>
      <c r="J7" s="12" t="s">
        <v>7</v>
      </c>
      <c r="K7" s="12" t="s">
        <v>87</v>
      </c>
      <c r="L7" s="12" t="s">
        <v>87</v>
      </c>
      <c r="M7" s="12">
        <v>4</v>
      </c>
      <c r="N7" s="38" t="s">
        <v>7</v>
      </c>
      <c r="O7" s="38">
        <v>38.700000000000003</v>
      </c>
      <c r="P7" s="38">
        <v>25</v>
      </c>
      <c r="Q7" s="38">
        <v>0</v>
      </c>
      <c r="R7" s="38" t="s">
        <v>130</v>
      </c>
      <c r="S7" s="38" t="s">
        <v>172</v>
      </c>
      <c r="T7" s="38">
        <v>45</v>
      </c>
      <c r="U7" s="38">
        <v>90</v>
      </c>
      <c r="V7" s="38">
        <v>45.2</v>
      </c>
      <c r="W7" s="38">
        <v>26</v>
      </c>
      <c r="X7" s="38">
        <v>0</v>
      </c>
      <c r="Y7" s="38" t="s">
        <v>130</v>
      </c>
      <c r="Z7" s="38" t="s">
        <v>172</v>
      </c>
      <c r="AA7" s="38">
        <v>45</v>
      </c>
      <c r="AB7" s="38">
        <v>90</v>
      </c>
      <c r="AC7" s="38">
        <v>48.7</v>
      </c>
      <c r="AD7" s="38">
        <v>10</v>
      </c>
      <c r="AE7" s="38">
        <v>35</v>
      </c>
      <c r="AF7" s="38" t="s">
        <v>263</v>
      </c>
      <c r="AG7" s="38" t="s">
        <v>171</v>
      </c>
      <c r="AH7" s="38">
        <v>45</v>
      </c>
      <c r="AI7" s="38">
        <v>90</v>
      </c>
      <c r="AJ7" s="38">
        <v>24</v>
      </c>
      <c r="AK7" s="38">
        <v>0</v>
      </c>
      <c r="AL7" s="38" t="s">
        <v>130</v>
      </c>
      <c r="AM7" s="38" t="s">
        <v>177</v>
      </c>
      <c r="AN7" s="38">
        <v>45</v>
      </c>
      <c r="AO7" s="38">
        <v>90</v>
      </c>
      <c r="AP7" s="38">
        <v>25</v>
      </c>
      <c r="AQ7" s="38">
        <v>0</v>
      </c>
      <c r="AR7" s="38" t="s">
        <v>263</v>
      </c>
      <c r="AS7" s="38" t="s">
        <v>176</v>
      </c>
      <c r="AT7" s="38">
        <v>45</v>
      </c>
      <c r="AU7" s="38">
        <v>90</v>
      </c>
      <c r="AV7" s="38">
        <v>25</v>
      </c>
      <c r="AW7" s="38">
        <v>0</v>
      </c>
      <c r="AX7" s="38" t="s">
        <v>263</v>
      </c>
      <c r="AY7" s="38" t="s">
        <v>176</v>
      </c>
      <c r="AZ7" s="38">
        <v>45</v>
      </c>
      <c r="BA7" s="38">
        <v>90</v>
      </c>
      <c r="BB7" s="38">
        <f>IF(AND(PCdb[[#This Row],[BCD]]&gt;UIoptions!$S$10,PCdb[[#This Row],[BCD]]&lt;UIoptions!$T$10),1,0)</f>
        <v>0</v>
      </c>
      <c r="BC7" s="38">
        <f>IF(AND(PCdb[[#This Row],[PD]]&gt;UIoptions!$S$11,PCdb[[#This Row],[PD]]&lt;UIoptions!$T$11),1,0)</f>
        <v>0</v>
      </c>
      <c r="BD7" s="38">
        <f>IF(AND(UIoptions!$P$14&lt;=PCdb[[#This Row],[PL (MAX)]],UIoptions!$P$14&gt;UIoptions!$S$14),1,0)</f>
        <v>1</v>
      </c>
      <c r="BE7" s="38">
        <f>IF(AND(PCdb[[#This Row],[SD]]&gt;UIoptions!$S$12,PCdb[[#This Row],[SD]]&lt;UIoptions!$T$12),1,0)</f>
        <v>0</v>
      </c>
      <c r="BF7" s="38">
        <f>IF(AND(PCdb[[#This Row],[SL]]&gt;UIoptions!$S$13,PCdb[[#This Row],[SL]]&lt;UIoptions!$T$13),1,0)</f>
        <v>0</v>
      </c>
      <c r="BG7" s="38">
        <f>IF(UIoptions!$N$35=1,IF(AND(PCdb[[#This Row],[SQ_SZ]]&gt;UIoptions!$S$15,PCdb[[#This Row],[SQ_SZ]]&lt;UIoptions!$T$15),1,0),1)</f>
        <v>0</v>
      </c>
      <c r="BH7" s="38">
        <f>IF(UIoptions!$N$35=2,IF(AND(PCdb[[#This Row],[ROUND_D]]&gt;UIoptions!$S$15,PCdb[[#This Row],[ROUND_D]]&lt;UIoptions!$T$15),1,0),1)</f>
        <v>1</v>
      </c>
      <c r="BI7" s="38">
        <f>IF(UIoptions!$N$75&lt;&gt;1,1,IF(AND(PCdb[[#This Row],[FL]]&gt;UIoptions!$S$16,PCdb[[#This Row],[FL]]&lt;UIoptions!$T$16),1,0))</f>
        <v>0</v>
      </c>
      <c r="BJ7" s="38" t="e">
        <f>IF(OR(UIoptions!$Q$18=PCdb[[#This Row],[THRU_SCREW]],UIoptions!$Q$18="NA"),1,0)</f>
        <v>#N/A</v>
      </c>
      <c r="BK7" s="38">
        <f>IF(OR(UIoptions!$P$19=PCdb[[#This Row],[THREAD_SZ]],UIoptions!$P$19="NA"),1,0)</f>
        <v>1</v>
      </c>
      <c r="BL7" s="38">
        <f>IF(UIoptions!$N$75=1,1,IF(AND(PCdb[[#This Row],[THREAD_L]]&gt;UIoptions!$S$17,PCdb[[#This Row],[THREAD_L]]&lt;UIoptions!$T$17),1,0))</f>
        <v>1</v>
      </c>
      <c r="BM7" s="38" t="e">
        <f>IF(SUM(PCdb[[#This Row],[BDhit]:[THREAD_Lhit]])=11,1,0)</f>
        <v>#N/A</v>
      </c>
      <c r="BN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6340492058NA7M4NANA4</v>
      </c>
      <c r="BO7" s="38" t="e">
        <f>SUM(PCdb[[#This Row],[BDhit]:[THREAD_Lhit]])</f>
        <v>#N/A</v>
      </c>
      <c r="BP7" s="38"/>
    </row>
    <row r="8" spans="1:68" x14ac:dyDescent="0.25">
      <c r="A8" s="7">
        <v>5</v>
      </c>
      <c r="B8" s="12">
        <v>66.7</v>
      </c>
      <c r="C8" s="12">
        <v>38.1</v>
      </c>
      <c r="D8" s="12">
        <v>4</v>
      </c>
      <c r="E8" s="12">
        <v>6.35</v>
      </c>
      <c r="F8" s="12">
        <v>20.6</v>
      </c>
      <c r="G8" s="12">
        <v>57.2</v>
      </c>
      <c r="H8" s="12" t="s">
        <v>87</v>
      </c>
      <c r="I8" s="12">
        <v>11.7</v>
      </c>
      <c r="J8" s="12" t="s">
        <v>7</v>
      </c>
      <c r="K8" s="12" t="s">
        <v>87</v>
      </c>
      <c r="L8" s="12" t="s">
        <v>87</v>
      </c>
      <c r="M8" s="12">
        <v>4</v>
      </c>
      <c r="N8" s="38" t="s">
        <v>7</v>
      </c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>
        <v>48.7</v>
      </c>
      <c r="AD8" s="38">
        <v>3.3</v>
      </c>
      <c r="AE8" s="38">
        <v>47.15</v>
      </c>
      <c r="AF8" s="38" t="s">
        <v>130</v>
      </c>
      <c r="AG8" s="38"/>
      <c r="AH8" s="38"/>
      <c r="AI8" s="38"/>
      <c r="AJ8" s="38">
        <v>22</v>
      </c>
      <c r="AK8" s="38" t="s">
        <v>87</v>
      </c>
      <c r="AL8" s="38" t="s">
        <v>130</v>
      </c>
      <c r="AM8" s="38" t="s">
        <v>177</v>
      </c>
      <c r="AN8" s="38">
        <v>45</v>
      </c>
      <c r="AO8" s="38">
        <v>90</v>
      </c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>
        <f>IF(AND(PCdb[[#This Row],[BCD]]&gt;UIoptions!$S$10,PCdb[[#This Row],[BCD]]&lt;UIoptions!$T$10),1,0)</f>
        <v>0</v>
      </c>
      <c r="BC8" s="38">
        <f>IF(AND(PCdb[[#This Row],[PD]]&gt;UIoptions!$S$11,PCdb[[#This Row],[PD]]&lt;UIoptions!$T$11),1,0)</f>
        <v>0</v>
      </c>
      <c r="BD8" s="38">
        <f>IF(AND(UIoptions!$P$14&lt;=PCdb[[#This Row],[PL (MAX)]],UIoptions!$P$14&gt;UIoptions!$S$14),1,0)</f>
        <v>1</v>
      </c>
      <c r="BE8" s="38">
        <f>IF(AND(PCdb[[#This Row],[SD]]&gt;UIoptions!$S$12,PCdb[[#This Row],[SD]]&lt;UIoptions!$T$12),1,0)</f>
        <v>0</v>
      </c>
      <c r="BF8" s="38">
        <f>IF(AND(PCdb[[#This Row],[SL]]&gt;UIoptions!$S$13,PCdb[[#This Row],[SL]]&lt;UIoptions!$T$13),1,0)</f>
        <v>0</v>
      </c>
      <c r="BG8" s="38">
        <f>IF(UIoptions!$N$35=1,IF(AND(PCdb[[#This Row],[SQ_SZ]]&gt;UIoptions!$S$15,PCdb[[#This Row],[SQ_SZ]]&lt;UIoptions!$T$15),1,0),1)</f>
        <v>0</v>
      </c>
      <c r="BH8" s="38">
        <f>IF(UIoptions!$N$35=2,IF(AND(PCdb[[#This Row],[ROUND_D]]&gt;UIoptions!$S$15,PCdb[[#This Row],[ROUND_D]]&lt;UIoptions!$T$15),1,0),1)</f>
        <v>1</v>
      </c>
      <c r="BI8" s="38">
        <f>IF(UIoptions!$N$75&lt;&gt;1,1,IF(AND(PCdb[[#This Row],[FL]]&gt;UIoptions!$S$16,PCdb[[#This Row],[FL]]&lt;UIoptions!$T$16),1,0))</f>
        <v>0</v>
      </c>
      <c r="BJ8" s="38" t="e">
        <f>IF(OR(UIoptions!$Q$18=PCdb[[#This Row],[THRU_SCREW]],UIoptions!$Q$18="NA"),1,0)</f>
        <v>#N/A</v>
      </c>
      <c r="BK8" s="38">
        <f>IF(OR(UIoptions!$P$19=PCdb[[#This Row],[THREAD_SZ]],UIoptions!$P$19="NA"),1,0)</f>
        <v>1</v>
      </c>
      <c r="BL8" s="38">
        <f>IF(UIoptions!$N$75=1,1,IF(AND(PCdb[[#This Row],[THREAD_L]]&gt;UIoptions!$S$17,PCdb[[#This Row],[THREAD_L]]&lt;UIoptions!$T$17),1,0))</f>
        <v>1</v>
      </c>
      <c r="BM8" s="38" t="e">
        <f>IF(SUM(PCdb[[#This Row],[BDhit]:[THREAD_Lhit]])=11,1,0)</f>
        <v>#N/A</v>
      </c>
      <c r="BN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66.738.146.3520.657.2NA11.7M4NANA4</v>
      </c>
      <c r="BO8" s="38" t="e">
        <f>SUM(PCdb[[#This Row],[BDhit]:[THREAD_Lhit]])</f>
        <v>#N/A</v>
      </c>
      <c r="BP8" s="38"/>
    </row>
    <row r="9" spans="1:68" x14ac:dyDescent="0.25">
      <c r="A9" s="7">
        <v>6</v>
      </c>
      <c r="B9" s="12">
        <v>70</v>
      </c>
      <c r="C9" s="12">
        <v>50</v>
      </c>
      <c r="D9" s="12">
        <v>4</v>
      </c>
      <c r="E9" s="12">
        <v>14</v>
      </c>
      <c r="F9" s="12">
        <v>30</v>
      </c>
      <c r="G9" s="12">
        <v>58</v>
      </c>
      <c r="H9" s="12" t="s">
        <v>87</v>
      </c>
      <c r="I9" s="12">
        <v>7</v>
      </c>
      <c r="J9" s="12" t="s">
        <v>45</v>
      </c>
      <c r="K9" s="12" t="s">
        <v>87</v>
      </c>
      <c r="L9" s="12" t="s">
        <v>87</v>
      </c>
      <c r="M9" s="12">
        <v>4</v>
      </c>
      <c r="N9" s="38" t="s">
        <v>45</v>
      </c>
      <c r="O9" s="38" t="s">
        <v>87</v>
      </c>
      <c r="P9" s="38" t="s">
        <v>87</v>
      </c>
      <c r="Q9" s="38" t="s">
        <v>87</v>
      </c>
      <c r="R9" s="38" t="s">
        <v>87</v>
      </c>
      <c r="S9" s="38"/>
      <c r="T9" s="38"/>
      <c r="U9" s="38"/>
      <c r="V9" s="38">
        <v>45.2</v>
      </c>
      <c r="W9" s="38">
        <v>27</v>
      </c>
      <c r="X9" s="38">
        <v>0</v>
      </c>
      <c r="Y9" s="38" t="s">
        <v>130</v>
      </c>
      <c r="Z9" s="38"/>
      <c r="AA9" s="38"/>
      <c r="AB9" s="38"/>
      <c r="AC9" s="38">
        <v>48.7</v>
      </c>
      <c r="AD9" s="38">
        <v>3.15</v>
      </c>
      <c r="AE9" s="38">
        <v>49.5</v>
      </c>
      <c r="AF9" s="38"/>
      <c r="AG9" s="38"/>
      <c r="AH9" s="38"/>
      <c r="AI9" s="38"/>
      <c r="AJ9" s="38" t="s">
        <v>87</v>
      </c>
      <c r="AK9" s="38" t="s">
        <v>87</v>
      </c>
      <c r="AL9" s="38" t="s">
        <v>87</v>
      </c>
      <c r="AM9" s="38"/>
      <c r="AN9" s="38"/>
      <c r="AO9" s="38"/>
      <c r="AP9" s="38">
        <v>27</v>
      </c>
      <c r="AQ9" s="38">
        <v>0</v>
      </c>
      <c r="AR9" s="38" t="s">
        <v>130</v>
      </c>
      <c r="AS9" s="38"/>
      <c r="AT9" s="38"/>
      <c r="AU9" s="38"/>
      <c r="AV9" s="38">
        <v>27</v>
      </c>
      <c r="AW9" s="38">
        <v>0</v>
      </c>
      <c r="AX9" s="38" t="s">
        <v>130</v>
      </c>
      <c r="AY9" s="38" t="s">
        <v>176</v>
      </c>
      <c r="AZ9" s="38">
        <v>45</v>
      </c>
      <c r="BA9" s="38">
        <v>90</v>
      </c>
      <c r="BB9" s="38">
        <f>IF(AND(PCdb[[#This Row],[BCD]]&gt;UIoptions!$S$10,PCdb[[#This Row],[BCD]]&lt;UIoptions!$T$10),1,0)</f>
        <v>0</v>
      </c>
      <c r="BC9" s="38">
        <f>IF(AND(PCdb[[#This Row],[PD]]&gt;UIoptions!$S$11,PCdb[[#This Row],[PD]]&lt;UIoptions!$T$11),1,0)</f>
        <v>0</v>
      </c>
      <c r="BD9" s="38">
        <f>IF(AND(UIoptions!$P$14&lt;=PCdb[[#This Row],[PL (MAX)]],UIoptions!$P$14&gt;UIoptions!$S$14),1,0)</f>
        <v>1</v>
      </c>
      <c r="BE9" s="38">
        <f>IF(AND(PCdb[[#This Row],[SD]]&gt;UIoptions!$S$12,PCdb[[#This Row],[SD]]&lt;UIoptions!$T$12),1,0)</f>
        <v>0</v>
      </c>
      <c r="BF9" s="38">
        <f>IF(AND(PCdb[[#This Row],[SL]]&gt;UIoptions!$S$13,PCdb[[#This Row],[SL]]&lt;UIoptions!$T$13),1,0)</f>
        <v>0</v>
      </c>
      <c r="BG9" s="38">
        <f>IF(UIoptions!$N$35=1,IF(AND(PCdb[[#This Row],[SQ_SZ]]&gt;UIoptions!$S$15,PCdb[[#This Row],[SQ_SZ]]&lt;UIoptions!$T$15),1,0),1)</f>
        <v>0</v>
      </c>
      <c r="BH9" s="38">
        <f>IF(UIoptions!$N$35=2,IF(AND(PCdb[[#This Row],[ROUND_D]]&gt;UIoptions!$S$15,PCdb[[#This Row],[ROUND_D]]&lt;UIoptions!$T$15),1,0),1)</f>
        <v>1</v>
      </c>
      <c r="BI9" s="38">
        <f>IF(UIoptions!$N$75&lt;&gt;1,1,IF(AND(PCdb[[#This Row],[FL]]&gt;UIoptions!$S$16,PCdb[[#This Row],[FL]]&lt;UIoptions!$T$16),1,0))</f>
        <v>0</v>
      </c>
      <c r="BJ9" s="38" t="e">
        <f>IF(OR(UIoptions!$Q$18=PCdb[[#This Row],[THRU_SCREW]],UIoptions!$Q$18="NA"),1,0)</f>
        <v>#N/A</v>
      </c>
      <c r="BK9" s="38">
        <f>IF(OR(UIoptions!$P$19=PCdb[[#This Row],[THREAD_SZ]],UIoptions!$P$19="NA"),1,0)</f>
        <v>1</v>
      </c>
      <c r="BL9" s="38">
        <f>IF(UIoptions!$N$75=1,1,IF(AND(PCdb[[#This Row],[THREAD_L]]&gt;UIoptions!$S$17,PCdb[[#This Row],[THREAD_L]]&lt;UIoptions!$T$17),1,0))</f>
        <v>1</v>
      </c>
      <c r="BM9" s="38" t="e">
        <f>IF(SUM(PCdb[[#This Row],[BDhit]:[THREAD_Lhit]])=11,1,0)</f>
        <v>#N/A</v>
      </c>
      <c r="BN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70504143058NA7M5NANA4</v>
      </c>
      <c r="BO9" s="38" t="e">
        <f>SUM(PCdb[[#This Row],[BDhit]:[THREAD_Lhit]])</f>
        <v>#N/A</v>
      </c>
      <c r="BP9" s="38"/>
    </row>
    <row r="10" spans="1:68" x14ac:dyDescent="0.25">
      <c r="A10" s="7">
        <v>7</v>
      </c>
      <c r="B10" s="12">
        <v>40</v>
      </c>
      <c r="C10" s="12">
        <v>32</v>
      </c>
      <c r="D10" s="12">
        <v>4</v>
      </c>
      <c r="E10" s="12">
        <v>12</v>
      </c>
      <c r="F10" s="12">
        <v>24.5</v>
      </c>
      <c r="G10" s="12" t="s">
        <v>87</v>
      </c>
      <c r="H10" s="12">
        <v>55</v>
      </c>
      <c r="I10" s="12" t="s">
        <v>87</v>
      </c>
      <c r="J10" s="12" t="s">
        <v>87</v>
      </c>
      <c r="K10" s="12" t="s">
        <v>45</v>
      </c>
      <c r="L10" s="12">
        <v>10</v>
      </c>
      <c r="M10" s="12">
        <v>4</v>
      </c>
      <c r="N10" s="38">
        <v>6</v>
      </c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 t="s">
        <v>87</v>
      </c>
      <c r="AQ10" s="38" t="s">
        <v>87</v>
      </c>
      <c r="AR10" s="38" t="s">
        <v>130</v>
      </c>
      <c r="AS10" s="34" t="s">
        <v>661</v>
      </c>
      <c r="AT10" s="38">
        <v>45</v>
      </c>
      <c r="AU10" s="38">
        <v>90</v>
      </c>
      <c r="AV10" s="38"/>
      <c r="AW10" s="38"/>
      <c r="AX10" s="38"/>
      <c r="AY10" s="38"/>
      <c r="AZ10" s="38"/>
      <c r="BA10" s="38"/>
      <c r="BB10" s="38">
        <f>IF(AND(PCdb[[#This Row],[BCD]]&gt;UIoptions!$S$10,PCdb[[#This Row],[BCD]]&lt;UIoptions!$T$10),1,0)</f>
        <v>0</v>
      </c>
      <c r="BC10" s="38">
        <f>IF(AND(PCdb[[#This Row],[PD]]&gt;UIoptions!$S$11,PCdb[[#This Row],[PD]]&lt;UIoptions!$T$11),1,0)</f>
        <v>0</v>
      </c>
      <c r="BD10" s="38">
        <f>IF(AND(UIoptions!$P$14&lt;=PCdb[[#This Row],[PL (MAX)]],UIoptions!$P$14&gt;UIoptions!$S$14),1,0)</f>
        <v>1</v>
      </c>
      <c r="BE10" s="38">
        <f>IF(AND(PCdb[[#This Row],[SD]]&gt;UIoptions!$S$12,PCdb[[#This Row],[SD]]&lt;UIoptions!$T$12),1,0)</f>
        <v>0</v>
      </c>
      <c r="BF10" s="38">
        <f>IF(AND(PCdb[[#This Row],[SL]]&gt;UIoptions!$S$13,PCdb[[#This Row],[SL]]&lt;UIoptions!$T$13),1,0)</f>
        <v>0</v>
      </c>
      <c r="BG10" s="38">
        <f>IF(UIoptions!$N$35=1,IF(AND(PCdb[[#This Row],[SQ_SZ]]&gt;UIoptions!$S$15,PCdb[[#This Row],[SQ_SZ]]&lt;UIoptions!$T$15),1,0),1)</f>
        <v>0</v>
      </c>
      <c r="BH10" s="38">
        <f>IF(UIoptions!$N$35=2,IF(AND(PCdb[[#This Row],[ROUND_D]]&gt;UIoptions!$S$15,PCdb[[#This Row],[ROUND_D]]&lt;UIoptions!$T$15),1,0),1)</f>
        <v>1</v>
      </c>
      <c r="BI10" s="38">
        <f>IF(UIoptions!$N$75&lt;&gt;1,1,IF(AND(PCdb[[#This Row],[FL]]&gt;UIoptions!$S$16,PCdb[[#This Row],[FL]]&lt;UIoptions!$T$16),1,0))</f>
        <v>0</v>
      </c>
      <c r="BJ10" s="38" t="e">
        <f>IF(OR(UIoptions!$Q$18=PCdb[[#This Row],[THRU_SCREW]],UIoptions!$Q$18="NA"),1,0)</f>
        <v>#N/A</v>
      </c>
      <c r="BK10" s="38">
        <f>IF(OR(UIoptions!$P$19=PCdb[[#This Row],[THREAD_SZ]],UIoptions!$P$19="NA"),1,0)</f>
        <v>1</v>
      </c>
      <c r="BL10" s="38">
        <f>IF(UIoptions!$N$75=1,1,IF(AND(PCdb[[#This Row],[THREAD_L]]&gt;UIoptions!$S$17,PCdb[[#This Row],[THREAD_L]]&lt;UIoptions!$T$17),1,0))</f>
        <v>1</v>
      </c>
      <c r="BM10" s="38" t="e">
        <f>IF(SUM(PCdb[[#This Row],[BDhit]:[THREAD_Lhit]])=11,1,0)</f>
        <v>#N/A</v>
      </c>
      <c r="BN1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403241224.5NA55NANAM5104</v>
      </c>
      <c r="BO10" s="38" t="e">
        <f>SUM(PCdb[[#This Row],[BDhit]:[THREAD_Lhit]])</f>
        <v>#N/A</v>
      </c>
      <c r="BP10" s="38"/>
    </row>
    <row r="11" spans="1:68" x14ac:dyDescent="0.25">
      <c r="A11" s="7">
        <v>8</v>
      </c>
      <c r="B11" s="12">
        <v>85</v>
      </c>
      <c r="C11" s="12">
        <v>70</v>
      </c>
      <c r="D11" s="12">
        <v>4</v>
      </c>
      <c r="E11" s="12">
        <v>14</v>
      </c>
      <c r="F11" s="12">
        <v>30</v>
      </c>
      <c r="G11" s="12" t="s">
        <v>87</v>
      </c>
      <c r="H11" s="12">
        <v>140</v>
      </c>
      <c r="I11" s="12" t="s">
        <v>87</v>
      </c>
      <c r="J11" s="12" t="s">
        <v>87</v>
      </c>
      <c r="K11" s="12" t="s">
        <v>49</v>
      </c>
      <c r="L11" s="12">
        <v>7</v>
      </c>
      <c r="M11" s="12">
        <v>4</v>
      </c>
      <c r="N11" s="38">
        <v>7</v>
      </c>
      <c r="O11" s="38" t="s">
        <v>87</v>
      </c>
      <c r="P11" s="38" t="s">
        <v>87</v>
      </c>
      <c r="Q11" s="38" t="s">
        <v>87</v>
      </c>
      <c r="R11" s="38" t="s">
        <v>87</v>
      </c>
      <c r="S11" s="38"/>
      <c r="T11" s="38"/>
      <c r="U11" s="38"/>
      <c r="V11" s="38">
        <v>45.2</v>
      </c>
      <c r="W11" s="38">
        <v>36.5</v>
      </c>
      <c r="X11" s="38">
        <v>0</v>
      </c>
      <c r="Y11" s="38" t="s">
        <v>130</v>
      </c>
      <c r="Z11" s="38"/>
      <c r="AA11" s="38"/>
      <c r="AB11" s="38"/>
      <c r="AC11" s="38">
        <v>48.7</v>
      </c>
      <c r="AD11" s="38" t="s">
        <v>87</v>
      </c>
      <c r="AE11" s="38" t="s">
        <v>87</v>
      </c>
      <c r="AF11" s="38" t="s">
        <v>130</v>
      </c>
      <c r="AG11" s="38" t="s">
        <v>612</v>
      </c>
      <c r="AH11" s="38">
        <v>45</v>
      </c>
      <c r="AI11" s="38">
        <v>90</v>
      </c>
      <c r="AJ11" s="38" t="s">
        <v>87</v>
      </c>
      <c r="AK11" s="38" t="s">
        <v>87</v>
      </c>
      <c r="AL11" s="38"/>
      <c r="AM11" s="38"/>
      <c r="AN11" s="38"/>
      <c r="AO11" s="38"/>
      <c r="AP11" s="38" t="s">
        <v>87</v>
      </c>
      <c r="AQ11" s="38" t="s">
        <v>87</v>
      </c>
      <c r="AR11" s="38"/>
      <c r="AS11" s="38"/>
      <c r="AT11" s="38"/>
      <c r="AU11" s="38"/>
      <c r="AV11" s="38" t="s">
        <v>87</v>
      </c>
      <c r="AW11" s="38" t="s">
        <v>87</v>
      </c>
      <c r="AX11" s="38"/>
      <c r="AY11" s="38"/>
      <c r="AZ11" s="38"/>
      <c r="BA11" s="38"/>
      <c r="BB11" s="38">
        <f>IF(AND(PCdb[[#This Row],[BCD]]&gt;UIoptions!$S$10,PCdb[[#This Row],[BCD]]&lt;UIoptions!$T$10),1,0)</f>
        <v>0</v>
      </c>
      <c r="BC11" s="38">
        <f>IF(AND(PCdb[[#This Row],[PD]]&gt;UIoptions!$S$11,PCdb[[#This Row],[PD]]&lt;UIoptions!$T$11),1,0)</f>
        <v>0</v>
      </c>
      <c r="BD11" s="38">
        <f>IF(AND(UIoptions!$P$14&lt;=PCdb[[#This Row],[PL (MAX)]],UIoptions!$P$14&gt;UIoptions!$S$14),1,0)</f>
        <v>1</v>
      </c>
      <c r="BE11" s="38">
        <f>IF(AND(PCdb[[#This Row],[SD]]&gt;UIoptions!$S$12,PCdb[[#This Row],[SD]]&lt;UIoptions!$T$12),1,0)</f>
        <v>0</v>
      </c>
      <c r="BF11" s="38">
        <f>IF(AND(PCdb[[#This Row],[SL]]&gt;UIoptions!$S$13,PCdb[[#This Row],[SL]]&lt;UIoptions!$T$13),1,0)</f>
        <v>0</v>
      </c>
      <c r="BG11" s="38">
        <f>IF(UIoptions!$N$35=1,IF(AND(PCdb[[#This Row],[SQ_SZ]]&gt;UIoptions!$S$15,PCdb[[#This Row],[SQ_SZ]]&lt;UIoptions!$T$15),1,0),1)</f>
        <v>0</v>
      </c>
      <c r="BH11" s="38">
        <f>IF(UIoptions!$N$35=2,IF(AND(PCdb[[#This Row],[ROUND_D]]&gt;UIoptions!$S$15,PCdb[[#This Row],[ROUND_D]]&lt;UIoptions!$T$15),1,0),1)</f>
        <v>1</v>
      </c>
      <c r="BI11" s="38">
        <f>IF(UIoptions!$N$75&lt;&gt;1,1,IF(AND(PCdb[[#This Row],[FL]]&gt;UIoptions!$S$16,PCdb[[#This Row],[FL]]&lt;UIoptions!$T$16),1,0))</f>
        <v>0</v>
      </c>
      <c r="BJ11" s="38" t="e">
        <f>IF(OR(UIoptions!$Q$18=PCdb[[#This Row],[THRU_SCREW]],UIoptions!$Q$18="NA"),1,0)</f>
        <v>#N/A</v>
      </c>
      <c r="BK11" s="38">
        <f>IF(OR(UIoptions!$P$19=PCdb[[#This Row],[THREAD_SZ]],UIoptions!$P$19="NA"),1,0)</f>
        <v>1</v>
      </c>
      <c r="BL11" s="38">
        <f>IF(UIoptions!$N$75=1,1,IF(AND(PCdb[[#This Row],[THREAD_L]]&gt;UIoptions!$S$17,PCdb[[#This Row],[THREAD_L]]&lt;UIoptions!$T$17),1,0))</f>
        <v>1</v>
      </c>
      <c r="BM11" s="38" t="e">
        <f>IF(SUM(PCdb[[#This Row],[BDhit]:[THREAD_Lhit]])=11,1,0)</f>
        <v>#N/A</v>
      </c>
      <c r="BN1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857041430NA140NANAM674</v>
      </c>
      <c r="BO11" s="38" t="e">
        <f>SUM(PCdb[[#This Row],[BDhit]:[THREAD_Lhit]])</f>
        <v>#N/A</v>
      </c>
      <c r="BP11" s="38"/>
    </row>
    <row r="12" spans="1:68" x14ac:dyDescent="0.25">
      <c r="A12" s="7">
        <v>9</v>
      </c>
      <c r="B12" s="12">
        <v>43.8</v>
      </c>
      <c r="C12" s="12">
        <v>22</v>
      </c>
      <c r="D12" s="12">
        <v>4</v>
      </c>
      <c r="E12" s="12">
        <v>5</v>
      </c>
      <c r="F12" s="12">
        <v>24</v>
      </c>
      <c r="G12" s="12">
        <v>42.3</v>
      </c>
      <c r="H12" s="12" t="s">
        <v>87</v>
      </c>
      <c r="I12" s="12" t="s">
        <v>87</v>
      </c>
      <c r="J12" s="12" t="s">
        <v>87</v>
      </c>
      <c r="K12" s="12" t="s">
        <v>105</v>
      </c>
      <c r="L12" s="12">
        <v>4.5</v>
      </c>
      <c r="M12" s="12">
        <v>4</v>
      </c>
      <c r="N12" s="38">
        <v>3.5</v>
      </c>
      <c r="O12" s="38">
        <v>36.200000000000003</v>
      </c>
      <c r="P12" s="38" t="s">
        <v>87</v>
      </c>
      <c r="Q12" s="38" t="s">
        <v>87</v>
      </c>
      <c r="R12" s="38" t="s">
        <v>130</v>
      </c>
      <c r="S12" s="38" t="s">
        <v>279</v>
      </c>
      <c r="T12" s="38">
        <v>45</v>
      </c>
      <c r="U12" s="38">
        <v>90</v>
      </c>
      <c r="V12" s="38">
        <v>41.7</v>
      </c>
      <c r="W12" s="38" t="s">
        <v>87</v>
      </c>
      <c r="X12" s="38" t="s">
        <v>87</v>
      </c>
      <c r="Y12" s="38" t="s">
        <v>263</v>
      </c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 t="s">
        <v>87</v>
      </c>
      <c r="AK12" s="38" t="s">
        <v>87</v>
      </c>
      <c r="AL12" s="38" t="s">
        <v>130</v>
      </c>
      <c r="AM12" s="38" t="s">
        <v>281</v>
      </c>
      <c r="AN12" s="38">
        <v>45</v>
      </c>
      <c r="AO12" s="38">
        <v>90</v>
      </c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>
        <f>IF(AND(PCdb[[#This Row],[BCD]]&gt;UIoptions!$S$10,PCdb[[#This Row],[BCD]]&lt;UIoptions!$T$10),1,0)</f>
        <v>0</v>
      </c>
      <c r="BC12" s="38">
        <f>IF(AND(PCdb[[#This Row],[PD]]&gt;UIoptions!$S$11,PCdb[[#This Row],[PD]]&lt;UIoptions!$T$11),1,0)</f>
        <v>0</v>
      </c>
      <c r="BD12" s="38">
        <f>IF(AND(UIoptions!$P$14&lt;=PCdb[[#This Row],[PL (MAX)]],UIoptions!$P$14&gt;UIoptions!$S$14),1,0)</f>
        <v>1</v>
      </c>
      <c r="BE12" s="38">
        <f>IF(AND(PCdb[[#This Row],[SD]]&gt;UIoptions!$S$12,PCdb[[#This Row],[SD]]&lt;UIoptions!$T$12),1,0)</f>
        <v>0</v>
      </c>
      <c r="BF12" s="38">
        <f>IF(AND(PCdb[[#This Row],[SL]]&gt;UIoptions!$S$13,PCdb[[#This Row],[SL]]&lt;UIoptions!$T$13),1,0)</f>
        <v>0</v>
      </c>
      <c r="BG12" s="38">
        <f>IF(UIoptions!$N$35=1,IF(AND(PCdb[[#This Row],[SQ_SZ]]&gt;UIoptions!$S$15,PCdb[[#This Row],[SQ_SZ]]&lt;UIoptions!$T$15),1,0),1)</f>
        <v>0</v>
      </c>
      <c r="BH12" s="38">
        <f>IF(UIoptions!$N$35=2,IF(AND(PCdb[[#This Row],[ROUND_D]]&gt;UIoptions!$S$15,PCdb[[#This Row],[ROUND_D]]&lt;UIoptions!$T$15),1,0),1)</f>
        <v>1</v>
      </c>
      <c r="BI12" s="38">
        <f>IF(UIoptions!$N$75&lt;&gt;1,1,IF(AND(PCdb[[#This Row],[FL]]&gt;UIoptions!$S$16,PCdb[[#This Row],[FL]]&lt;UIoptions!$T$16),1,0))</f>
        <v>0</v>
      </c>
      <c r="BJ12" s="38" t="e">
        <f>IF(OR(UIoptions!$Q$18=PCdb[[#This Row],[THRU_SCREW]],UIoptions!$Q$18="NA"),1,0)</f>
        <v>#N/A</v>
      </c>
      <c r="BK12" s="38">
        <f>IF(OR(UIoptions!$P$19=PCdb[[#This Row],[THREAD_SZ]],UIoptions!$P$19="NA"),1,0)</f>
        <v>1</v>
      </c>
      <c r="BL12" s="38">
        <f>IF(UIoptions!$N$75=1,1,IF(AND(PCdb[[#This Row],[THREAD_L]]&gt;UIoptions!$S$17,PCdb[[#This Row],[THREAD_L]]&lt;UIoptions!$T$17),1,0))</f>
        <v>1</v>
      </c>
      <c r="BM12" s="38" t="e">
        <f>IF(SUM(PCdb[[#This Row],[BDhit]:[THREAD_Lhit]])=11,1,0)</f>
        <v>#N/A</v>
      </c>
      <c r="BN1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43.822452442.3NANANAM34.54</v>
      </c>
      <c r="BO12" s="38" t="e">
        <f>SUM(PCdb[[#This Row],[BDhit]:[THREAD_Lhit]])</f>
        <v>#N/A</v>
      </c>
      <c r="BP12" s="38"/>
    </row>
    <row r="13" spans="1:68" x14ac:dyDescent="0.25">
      <c r="A13" s="93">
        <v>10</v>
      </c>
      <c r="B13" s="93">
        <v>70</v>
      </c>
      <c r="C13" s="93">
        <v>50</v>
      </c>
      <c r="D13" s="93">
        <v>4</v>
      </c>
      <c r="E13" s="93">
        <v>14</v>
      </c>
      <c r="F13" s="93">
        <v>30</v>
      </c>
      <c r="G13" s="93">
        <v>60</v>
      </c>
      <c r="H13" s="93" t="s">
        <v>87</v>
      </c>
      <c r="I13" s="93">
        <v>7.5</v>
      </c>
      <c r="J13" s="93" t="s">
        <v>45</v>
      </c>
      <c r="K13" s="93" t="s">
        <v>87</v>
      </c>
      <c r="L13" s="93" t="s">
        <v>87</v>
      </c>
      <c r="M13" s="93">
        <v>4</v>
      </c>
      <c r="N13" s="38" t="s">
        <v>45</v>
      </c>
      <c r="O13" s="38" t="s">
        <v>87</v>
      </c>
      <c r="P13" s="38" t="s">
        <v>87</v>
      </c>
      <c r="Q13" s="38" t="s">
        <v>87</v>
      </c>
      <c r="R13" s="38" t="s">
        <v>87</v>
      </c>
      <c r="S13" s="38" t="s">
        <v>87</v>
      </c>
      <c r="T13" s="38" t="s">
        <v>87</v>
      </c>
      <c r="U13" s="38" t="s">
        <v>87</v>
      </c>
      <c r="V13" s="38">
        <v>45.2</v>
      </c>
      <c r="W13" s="38">
        <v>27</v>
      </c>
      <c r="X13" s="38">
        <v>0</v>
      </c>
      <c r="Y13" s="38" t="s">
        <v>130</v>
      </c>
      <c r="Z13" s="38" t="s">
        <v>172</v>
      </c>
      <c r="AA13" s="38">
        <v>45</v>
      </c>
      <c r="AB13" s="38">
        <v>90</v>
      </c>
      <c r="AC13" s="38">
        <v>48.7</v>
      </c>
      <c r="AD13" s="38" t="s">
        <v>87</v>
      </c>
      <c r="AE13" s="38">
        <v>54.3</v>
      </c>
      <c r="AF13" s="38" t="s">
        <v>130</v>
      </c>
      <c r="AG13" s="38" t="s">
        <v>171</v>
      </c>
      <c r="AH13" s="38">
        <v>45</v>
      </c>
      <c r="AI13" s="38">
        <v>90</v>
      </c>
      <c r="AJ13" s="38" t="s">
        <v>87</v>
      </c>
      <c r="AK13" s="38" t="s">
        <v>87</v>
      </c>
      <c r="AL13" s="38" t="s">
        <v>87</v>
      </c>
      <c r="AM13" s="38"/>
      <c r="AN13" s="38"/>
      <c r="AO13" s="38"/>
      <c r="AP13" s="38">
        <v>27</v>
      </c>
      <c r="AQ13" s="38">
        <v>0</v>
      </c>
      <c r="AR13" s="38" t="s">
        <v>130</v>
      </c>
      <c r="AS13" s="38" t="s">
        <v>176</v>
      </c>
      <c r="AT13" s="38">
        <v>45</v>
      </c>
      <c r="AU13" s="38">
        <v>90</v>
      </c>
      <c r="AV13" s="38">
        <v>27</v>
      </c>
      <c r="AW13" s="38">
        <v>0</v>
      </c>
      <c r="AX13" s="38" t="s">
        <v>130</v>
      </c>
      <c r="AY13" s="38" t="s">
        <v>176</v>
      </c>
      <c r="AZ13" s="38">
        <v>45</v>
      </c>
      <c r="BA13" s="38">
        <v>90</v>
      </c>
      <c r="BB13" s="38">
        <f>IF(AND(PCdb[[#This Row],[BCD]]&gt;UIoptions!$S$10,PCdb[[#This Row],[BCD]]&lt;UIoptions!$T$10),1,0)</f>
        <v>0</v>
      </c>
      <c r="BC13" s="38">
        <f>IF(AND(PCdb[[#This Row],[PD]]&gt;UIoptions!$S$11,PCdb[[#This Row],[PD]]&lt;UIoptions!$T$11),1,0)</f>
        <v>0</v>
      </c>
      <c r="BD13" s="38">
        <f>IF(AND(UIoptions!$P$14&lt;=PCdb[[#This Row],[PL (MAX)]],UIoptions!$P$14&gt;UIoptions!$S$14),1,0)</f>
        <v>1</v>
      </c>
      <c r="BE13" s="38">
        <f>IF(AND(PCdb[[#This Row],[SD]]&gt;UIoptions!$S$12,PCdb[[#This Row],[SD]]&lt;UIoptions!$T$12),1,0)</f>
        <v>0</v>
      </c>
      <c r="BF13" s="38">
        <f>IF(AND(PCdb[[#This Row],[SL]]&gt;UIoptions!$S$13,PCdb[[#This Row],[SL]]&lt;UIoptions!$T$13),1,0)</f>
        <v>0</v>
      </c>
      <c r="BG13" s="38">
        <f>IF(UIoptions!$N$35=1,IF(AND(PCdb[[#This Row],[SQ_SZ]]&gt;UIoptions!$S$15,PCdb[[#This Row],[SQ_SZ]]&lt;UIoptions!$T$15),1,0),1)</f>
        <v>0</v>
      </c>
      <c r="BH13" s="38">
        <f>IF(UIoptions!$N$35=2,IF(AND(PCdb[[#This Row],[ROUND_D]]&gt;UIoptions!$S$15,PCdb[[#This Row],[ROUND_D]]&lt;UIoptions!$T$15),1,0),1)</f>
        <v>1</v>
      </c>
      <c r="BI13" s="38">
        <f>IF(UIoptions!$N$75&lt;&gt;1,1,IF(AND(PCdb[[#This Row],[FL]]&gt;UIoptions!$S$16,PCdb[[#This Row],[FL]]&lt;UIoptions!$T$16),1,0))</f>
        <v>0</v>
      </c>
      <c r="BJ13" s="38" t="e">
        <f>IF(OR(UIoptions!$Q$18=PCdb[[#This Row],[THRU_SCREW]],UIoptions!$Q$18="NA"),1,0)</f>
        <v>#N/A</v>
      </c>
      <c r="BK13" s="38">
        <f>IF(OR(UIoptions!$P$19=PCdb[[#This Row],[THREAD_SZ]],UIoptions!$P$19="NA"),1,0)</f>
        <v>1</v>
      </c>
      <c r="BL13" s="38">
        <f>IF(UIoptions!$N$75=1,1,IF(AND(PCdb[[#This Row],[THREAD_L]]&gt;UIoptions!$S$17,PCdb[[#This Row],[THREAD_L]]&lt;UIoptions!$T$17),1,0))</f>
        <v>1</v>
      </c>
      <c r="BM13" s="38" t="e">
        <f>IF(SUM(PCdb[[#This Row],[BDhit]:[THREAD_Lhit]])=11,1,0)</f>
        <v>#N/A</v>
      </c>
      <c r="BN1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70504143060NA7.5M5NANA4</v>
      </c>
      <c r="BO13" s="38" t="e">
        <f>SUM(PCdb[[#This Row],[BDhit]:[THREAD_Lhit]])</f>
        <v>#N/A</v>
      </c>
      <c r="BP13" s="38"/>
    </row>
    <row r="14" spans="1:68" x14ac:dyDescent="0.25">
      <c r="A14" s="93">
        <v>11</v>
      </c>
      <c r="B14" s="93">
        <v>36.799999999999997</v>
      </c>
      <c r="C14" s="93">
        <v>22</v>
      </c>
      <c r="D14" s="93">
        <v>4</v>
      </c>
      <c r="E14" s="93">
        <v>5</v>
      </c>
      <c r="F14" s="93">
        <v>24</v>
      </c>
      <c r="G14" s="93" t="s">
        <v>87</v>
      </c>
      <c r="H14" s="93">
        <v>35.6</v>
      </c>
      <c r="I14" s="93" t="s">
        <v>87</v>
      </c>
      <c r="J14" s="93" t="s">
        <v>87</v>
      </c>
      <c r="K14" s="93" t="s">
        <v>105</v>
      </c>
      <c r="L14" s="93">
        <v>3.5</v>
      </c>
      <c r="M14" s="93">
        <v>4</v>
      </c>
      <c r="N14" s="38">
        <v>4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>
        <f>IF(AND(PCdb[[#This Row],[BCD]]&gt;UIoptions!$S$10,PCdb[[#This Row],[BCD]]&lt;UIoptions!$T$10),1,0)</f>
        <v>0</v>
      </c>
      <c r="BC14" s="38">
        <f>IF(AND(PCdb[[#This Row],[PD]]&gt;UIoptions!$S$11,PCdb[[#This Row],[PD]]&lt;UIoptions!$T$11),1,0)</f>
        <v>0</v>
      </c>
      <c r="BD14" s="38">
        <f>IF(AND(UIoptions!$P$14&lt;=PCdb[[#This Row],[PL (MAX)]],UIoptions!$P$14&gt;UIoptions!$S$14),1,0)</f>
        <v>1</v>
      </c>
      <c r="BE14" s="38">
        <f>IF(AND(PCdb[[#This Row],[SD]]&gt;UIoptions!$S$12,PCdb[[#This Row],[SD]]&lt;UIoptions!$T$12),1,0)</f>
        <v>0</v>
      </c>
      <c r="BF14" s="38">
        <f>IF(AND(PCdb[[#This Row],[SL]]&gt;UIoptions!$S$13,PCdb[[#This Row],[SL]]&lt;UIoptions!$T$13),1,0)</f>
        <v>0</v>
      </c>
      <c r="BG14" s="38">
        <f>IF(UIoptions!$N$35=1,IF(AND(PCdb[[#This Row],[SQ_SZ]]&gt;UIoptions!$S$15,PCdb[[#This Row],[SQ_SZ]]&lt;UIoptions!$T$15),1,0),1)</f>
        <v>0</v>
      </c>
      <c r="BH14" s="38">
        <f>IF(UIoptions!$N$35=2,IF(AND(PCdb[[#This Row],[ROUND_D]]&gt;UIoptions!$S$15,PCdb[[#This Row],[ROUND_D]]&lt;UIoptions!$T$15),1,0),1)</f>
        <v>1</v>
      </c>
      <c r="BI14" s="38">
        <f>IF(UIoptions!$N$75&lt;&gt;1,1,IF(AND(PCdb[[#This Row],[FL]]&gt;UIoptions!$S$16,PCdb[[#This Row],[FL]]&lt;UIoptions!$T$16),1,0))</f>
        <v>0</v>
      </c>
      <c r="BJ14" s="38" t="e">
        <f>IF(OR(UIoptions!$Q$18=PCdb[[#This Row],[THRU_SCREW]],UIoptions!$Q$18="NA"),1,0)</f>
        <v>#N/A</v>
      </c>
      <c r="BK14" s="38">
        <f>IF(OR(UIoptions!$P$19=PCdb[[#This Row],[THREAD_SZ]],UIoptions!$P$19="NA"),1,0)</f>
        <v>1</v>
      </c>
      <c r="BL14" s="38">
        <f>IF(UIoptions!$N$75=1,1,IF(AND(PCdb[[#This Row],[THREAD_L]]&gt;UIoptions!$S$17,PCdb[[#This Row],[THREAD_L]]&lt;UIoptions!$T$17),1,0))</f>
        <v>1</v>
      </c>
      <c r="BM14" s="38" t="e">
        <f>IF(SUM(PCdb[[#This Row],[BDhit]:[THREAD_Lhit]])=11,1,0)</f>
        <v>#N/A</v>
      </c>
      <c r="BN1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36.8224524NA35.6NANAM33.54</v>
      </c>
      <c r="BO14" s="38" t="e">
        <f>SUM(PCdb[[#This Row],[BDhit]:[THREAD_Lhit]])</f>
        <v>#N/A</v>
      </c>
      <c r="BP14" s="38"/>
    </row>
    <row r="15" spans="1:68" x14ac:dyDescent="0.25">
      <c r="A15" s="7">
        <v>12</v>
      </c>
      <c r="B15" s="12">
        <v>66.7</v>
      </c>
      <c r="C15" s="12">
        <v>38.1</v>
      </c>
      <c r="D15" s="12">
        <v>4</v>
      </c>
      <c r="E15" s="12">
        <v>6.35</v>
      </c>
      <c r="F15" s="12">
        <v>20.6</v>
      </c>
      <c r="G15" s="12">
        <v>57</v>
      </c>
      <c r="H15" s="12" t="s">
        <v>87</v>
      </c>
      <c r="I15" s="12">
        <v>4.8</v>
      </c>
      <c r="J15" s="12" t="s">
        <v>7</v>
      </c>
      <c r="K15" s="12" t="s">
        <v>87</v>
      </c>
      <c r="L15" s="12" t="s">
        <v>87</v>
      </c>
      <c r="M15" s="12">
        <v>4</v>
      </c>
      <c r="N15" s="38" t="s">
        <v>7</v>
      </c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>
        <v>22</v>
      </c>
      <c r="AK15" s="38">
        <v>0</v>
      </c>
      <c r="AL15" s="38" t="s">
        <v>130</v>
      </c>
      <c r="AM15" s="38" t="s">
        <v>177</v>
      </c>
      <c r="AN15" s="38">
        <v>45</v>
      </c>
      <c r="AO15" s="38">
        <v>90</v>
      </c>
      <c r="AP15" s="38">
        <v>22</v>
      </c>
      <c r="AQ15" s="38">
        <v>0</v>
      </c>
      <c r="AR15" s="38" t="s">
        <v>130</v>
      </c>
      <c r="AS15" s="38"/>
      <c r="AT15" s="38"/>
      <c r="AU15" s="38"/>
      <c r="AV15" s="38">
        <v>22</v>
      </c>
      <c r="AW15" s="38">
        <v>0</v>
      </c>
      <c r="AX15" s="38" t="s">
        <v>130</v>
      </c>
      <c r="AY15" s="38"/>
      <c r="AZ15" s="38"/>
      <c r="BA15" s="38"/>
      <c r="BB15" s="38">
        <f>IF(AND(PCdb[[#This Row],[BCD]]&gt;UIoptions!$S$10,PCdb[[#This Row],[BCD]]&lt;UIoptions!$T$10),1,0)</f>
        <v>0</v>
      </c>
      <c r="BC15" s="38">
        <f>IF(AND(PCdb[[#This Row],[PD]]&gt;UIoptions!$S$11,PCdb[[#This Row],[PD]]&lt;UIoptions!$T$11),1,0)</f>
        <v>0</v>
      </c>
      <c r="BD15" s="38">
        <f>IF(AND(UIoptions!$P$14&lt;=PCdb[[#This Row],[PL (MAX)]],UIoptions!$P$14&gt;UIoptions!$S$14),1,0)</f>
        <v>1</v>
      </c>
      <c r="BE15" s="38">
        <f>IF(AND(PCdb[[#This Row],[SD]]&gt;UIoptions!$S$12,PCdb[[#This Row],[SD]]&lt;UIoptions!$T$12),1,0)</f>
        <v>0</v>
      </c>
      <c r="BF15" s="38">
        <f>IF(AND(PCdb[[#This Row],[SL]]&gt;UIoptions!$S$13,PCdb[[#This Row],[SL]]&lt;UIoptions!$T$13),1,0)</f>
        <v>0</v>
      </c>
      <c r="BG15" s="38">
        <f>IF(UIoptions!$N$35=1,IF(AND(PCdb[[#This Row],[SQ_SZ]]&gt;UIoptions!$S$15,PCdb[[#This Row],[SQ_SZ]]&lt;UIoptions!$T$15),1,0),1)</f>
        <v>0</v>
      </c>
      <c r="BH15" s="38">
        <f>IF(UIoptions!$N$35=2,IF(AND(PCdb[[#This Row],[ROUND_D]]&gt;UIoptions!$S$15,PCdb[[#This Row],[ROUND_D]]&lt;UIoptions!$T$15),1,0),1)</f>
        <v>1</v>
      </c>
      <c r="BI15" s="38">
        <f>IF(UIoptions!$N$75&lt;&gt;1,1,IF(AND(PCdb[[#This Row],[FL]]&gt;UIoptions!$S$16,PCdb[[#This Row],[FL]]&lt;UIoptions!$T$16),1,0))</f>
        <v>0</v>
      </c>
      <c r="BJ15" s="38" t="e">
        <f>IF(OR(UIoptions!$Q$18=PCdb[[#This Row],[THRU_SCREW]],UIoptions!$Q$18="NA"),1,0)</f>
        <v>#N/A</v>
      </c>
      <c r="BK15" s="38">
        <f>IF(OR(UIoptions!$P$19=PCdb[[#This Row],[THREAD_SZ]],UIoptions!$P$19="NA"),1,0)</f>
        <v>1</v>
      </c>
      <c r="BL15" s="38">
        <f>IF(UIoptions!$N$75=1,1,IF(AND(PCdb[[#This Row],[THREAD_L]]&gt;UIoptions!$S$17,PCdb[[#This Row],[THREAD_L]]&lt;UIoptions!$T$17),1,0))</f>
        <v>1</v>
      </c>
      <c r="BM15" s="38" t="e">
        <f>IF(SUM(PCdb[[#This Row],[BDhit]:[THREAD_Lhit]])=11,1,0)</f>
        <v>#N/A</v>
      </c>
      <c r="BN1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66.738.146.3520.657NA4.8M4NANA4</v>
      </c>
      <c r="BO15" s="38" t="e">
        <f>SUM(PCdb[[#This Row],[BDhit]:[THREAD_Lhit]])</f>
        <v>#N/A</v>
      </c>
      <c r="BP15" s="38"/>
    </row>
    <row r="16" spans="1:68" x14ac:dyDescent="0.25">
      <c r="A16" s="7">
        <v>13</v>
      </c>
      <c r="B16" s="12">
        <v>36.799999999999997</v>
      </c>
      <c r="C16" s="12">
        <v>22</v>
      </c>
      <c r="D16" s="12">
        <v>4</v>
      </c>
      <c r="E16" s="12">
        <v>5</v>
      </c>
      <c r="F16" s="12">
        <v>24</v>
      </c>
      <c r="G16" s="12">
        <v>35.6</v>
      </c>
      <c r="H16" s="12" t="s">
        <v>87</v>
      </c>
      <c r="I16" s="12" t="s">
        <v>87</v>
      </c>
      <c r="J16" s="12" t="s">
        <v>87</v>
      </c>
      <c r="K16" s="12" t="s">
        <v>105</v>
      </c>
      <c r="L16" s="12">
        <v>3.5</v>
      </c>
      <c r="M16" s="12">
        <v>4</v>
      </c>
      <c r="N16" s="38">
        <v>3.5</v>
      </c>
      <c r="O16" s="38">
        <v>36.200000000000003</v>
      </c>
      <c r="P16" s="38" t="s">
        <v>87</v>
      </c>
      <c r="Q16" s="38" t="s">
        <v>87</v>
      </c>
      <c r="R16" s="38" t="s">
        <v>130</v>
      </c>
      <c r="S16" s="38" t="s">
        <v>279</v>
      </c>
      <c r="T16" s="38">
        <v>45</v>
      </c>
      <c r="U16" s="38">
        <v>90</v>
      </c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>
        <f>IF(AND(PCdb[[#This Row],[BCD]]&gt;UIoptions!$S$10,PCdb[[#This Row],[BCD]]&lt;UIoptions!$T$10),1,0)</f>
        <v>0</v>
      </c>
      <c r="BC16" s="38">
        <f>IF(AND(PCdb[[#This Row],[PD]]&gt;UIoptions!$S$11,PCdb[[#This Row],[PD]]&lt;UIoptions!$T$11),1,0)</f>
        <v>0</v>
      </c>
      <c r="BD16" s="38">
        <f>IF(AND(UIoptions!$P$14&lt;=PCdb[[#This Row],[PL (MAX)]],UIoptions!$P$14&gt;UIoptions!$S$14),1,0)</f>
        <v>1</v>
      </c>
      <c r="BE16" s="38">
        <f>IF(AND(PCdb[[#This Row],[SD]]&gt;UIoptions!$S$12,PCdb[[#This Row],[SD]]&lt;UIoptions!$T$12),1,0)</f>
        <v>0</v>
      </c>
      <c r="BF16" s="38">
        <f>IF(AND(PCdb[[#This Row],[SL]]&gt;UIoptions!$S$13,PCdb[[#This Row],[SL]]&lt;UIoptions!$T$13),1,0)</f>
        <v>0</v>
      </c>
      <c r="BG16" s="38">
        <f>IF(UIoptions!$N$35=1,IF(AND(PCdb[[#This Row],[SQ_SZ]]&gt;UIoptions!$S$15,PCdb[[#This Row],[SQ_SZ]]&lt;UIoptions!$T$15),1,0),1)</f>
        <v>0</v>
      </c>
      <c r="BH16" s="38">
        <f>IF(UIoptions!$N$35=2,IF(AND(PCdb[[#This Row],[ROUND_D]]&gt;UIoptions!$S$15,PCdb[[#This Row],[ROUND_D]]&lt;UIoptions!$T$15),1,0),1)</f>
        <v>1</v>
      </c>
      <c r="BI16" s="38">
        <f>IF(UIoptions!$N$75&lt;&gt;1,1,IF(AND(PCdb[[#This Row],[FL]]&gt;UIoptions!$S$16,PCdb[[#This Row],[FL]]&lt;UIoptions!$T$16),1,0))</f>
        <v>0</v>
      </c>
      <c r="BJ16" s="38" t="e">
        <f>IF(OR(UIoptions!$Q$18=PCdb[[#This Row],[THRU_SCREW]],UIoptions!$Q$18="NA"),1,0)</f>
        <v>#N/A</v>
      </c>
      <c r="BK16" s="38">
        <f>IF(OR(UIoptions!$P$19=PCdb[[#This Row],[THREAD_SZ]],UIoptions!$P$19="NA"),1,0)</f>
        <v>1</v>
      </c>
      <c r="BL16" s="38">
        <f>IF(UIoptions!$N$75=1,1,IF(AND(PCdb[[#This Row],[THREAD_L]]&gt;UIoptions!$S$17,PCdb[[#This Row],[THREAD_L]]&lt;UIoptions!$T$17),1,0))</f>
        <v>1</v>
      </c>
      <c r="BM16" s="38" t="e">
        <f>IF(SUM(PCdb[[#This Row],[BDhit]:[THREAD_Lhit]])=11,1,0)</f>
        <v>#N/A</v>
      </c>
      <c r="BN1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36.822452435.6NANANAM33.54</v>
      </c>
      <c r="BO16" s="38" t="e">
        <f>SUM(PCdb[[#This Row],[BDhit]:[THREAD_Lhit]])</f>
        <v>#N/A</v>
      </c>
      <c r="BP16" s="38"/>
    </row>
    <row r="17" spans="1:68" x14ac:dyDescent="0.25">
      <c r="A17" s="7">
        <v>14</v>
      </c>
      <c r="B17" s="12">
        <v>43.8</v>
      </c>
      <c r="C17" s="12">
        <v>22</v>
      </c>
      <c r="D17" s="12">
        <v>4</v>
      </c>
      <c r="E17" s="12">
        <v>6</v>
      </c>
      <c r="F17" s="12">
        <v>20</v>
      </c>
      <c r="G17" s="12">
        <v>42</v>
      </c>
      <c r="H17" s="12" t="s">
        <v>87</v>
      </c>
      <c r="I17" s="12" t="s">
        <v>87</v>
      </c>
      <c r="J17" s="12" t="s">
        <v>87</v>
      </c>
      <c r="K17" s="12" t="s">
        <v>105</v>
      </c>
      <c r="L17" s="12">
        <v>4.5</v>
      </c>
      <c r="M17" s="12">
        <v>4</v>
      </c>
      <c r="N17" s="38">
        <v>3.5</v>
      </c>
      <c r="O17" s="38">
        <v>38.700000000000003</v>
      </c>
      <c r="P17" s="38" t="s">
        <v>87</v>
      </c>
      <c r="Q17" s="38" t="s">
        <v>87</v>
      </c>
      <c r="R17" s="38" t="s">
        <v>130</v>
      </c>
      <c r="S17" s="38" t="s">
        <v>279</v>
      </c>
      <c r="T17" s="38">
        <v>45</v>
      </c>
      <c r="U17" s="38">
        <v>90</v>
      </c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 t="s">
        <v>87</v>
      </c>
      <c r="AK17" s="38" t="s">
        <v>87</v>
      </c>
      <c r="AL17" s="38" t="s">
        <v>87</v>
      </c>
      <c r="AM17" s="38" t="s">
        <v>87</v>
      </c>
      <c r="AN17" s="38" t="s">
        <v>87</v>
      </c>
      <c r="AO17" s="38" t="s">
        <v>87</v>
      </c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>
        <f>IF(AND(PCdb[[#This Row],[BCD]]&gt;UIoptions!$S$10,PCdb[[#This Row],[BCD]]&lt;UIoptions!$T$10),1,0)</f>
        <v>0</v>
      </c>
      <c r="BC17" s="38">
        <f>IF(AND(PCdb[[#This Row],[PD]]&gt;UIoptions!$S$11,PCdb[[#This Row],[PD]]&lt;UIoptions!$T$11),1,0)</f>
        <v>0</v>
      </c>
      <c r="BD17" s="38">
        <f>IF(AND(UIoptions!$P$14&lt;=PCdb[[#This Row],[PL (MAX)]],UIoptions!$P$14&gt;UIoptions!$S$14),1,0)</f>
        <v>1</v>
      </c>
      <c r="BE17" s="38">
        <f>IF(AND(PCdb[[#This Row],[SD]]&gt;UIoptions!$S$12,PCdb[[#This Row],[SD]]&lt;UIoptions!$T$12),1,0)</f>
        <v>0</v>
      </c>
      <c r="BF17" s="38">
        <f>IF(AND(PCdb[[#This Row],[SL]]&gt;UIoptions!$S$13,PCdb[[#This Row],[SL]]&lt;UIoptions!$T$13),1,0)</f>
        <v>0</v>
      </c>
      <c r="BG17" s="38">
        <f>IF(UIoptions!$N$35=1,IF(AND(PCdb[[#This Row],[SQ_SZ]]&gt;UIoptions!$S$15,PCdb[[#This Row],[SQ_SZ]]&lt;UIoptions!$T$15),1,0),1)</f>
        <v>0</v>
      </c>
      <c r="BH17" s="38">
        <f>IF(UIoptions!$N$35=2,IF(AND(PCdb[[#This Row],[ROUND_D]]&gt;UIoptions!$S$15,PCdb[[#This Row],[ROUND_D]]&lt;UIoptions!$T$15),1,0),1)</f>
        <v>1</v>
      </c>
      <c r="BI17" s="38">
        <f>IF(UIoptions!$N$75&lt;&gt;1,1,IF(AND(PCdb[[#This Row],[FL]]&gt;UIoptions!$S$16,PCdb[[#This Row],[FL]]&lt;UIoptions!$T$16),1,0))</f>
        <v>0</v>
      </c>
      <c r="BJ17" s="38" t="e">
        <f>IF(OR(UIoptions!$Q$18=PCdb[[#This Row],[THRU_SCREW]],UIoptions!$Q$18="NA"),1,0)</f>
        <v>#N/A</v>
      </c>
      <c r="BK17" s="38">
        <f>IF(OR(UIoptions!$P$19=PCdb[[#This Row],[THREAD_SZ]],UIoptions!$P$19="NA"),1,0)</f>
        <v>1</v>
      </c>
      <c r="BL17" s="38">
        <f>IF(UIoptions!$N$75=1,1,IF(AND(PCdb[[#This Row],[THREAD_L]]&gt;UIoptions!$S$17,PCdb[[#This Row],[THREAD_L]]&lt;UIoptions!$T$17),1,0))</f>
        <v>1</v>
      </c>
      <c r="BM17" s="38" t="e">
        <f>IF(SUM(PCdb[[#This Row],[BDhit]:[THREAD_Lhit]])=11,1,0)</f>
        <v>#N/A</v>
      </c>
      <c r="BN1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43.822462042NANANAM34.54</v>
      </c>
      <c r="BO17" s="38" t="e">
        <f>SUM(PCdb[[#This Row],[BDhit]:[THREAD_Lhit]])</f>
        <v>#N/A</v>
      </c>
      <c r="BP17" s="38"/>
    </row>
    <row r="18" spans="1:68" x14ac:dyDescent="0.25">
      <c r="A18" s="7">
        <v>15</v>
      </c>
      <c r="B18" s="12">
        <v>46.7</v>
      </c>
      <c r="C18" s="12">
        <v>20.02</v>
      </c>
      <c r="D18" s="12">
        <v>4</v>
      </c>
      <c r="E18" s="12">
        <v>6.35</v>
      </c>
      <c r="F18" s="12">
        <v>25</v>
      </c>
      <c r="G18" s="12">
        <v>40</v>
      </c>
      <c r="H18" s="12" t="s">
        <v>87</v>
      </c>
      <c r="I18" s="12">
        <v>4</v>
      </c>
      <c r="J18" s="12" t="s">
        <v>105</v>
      </c>
      <c r="K18" s="12" t="s">
        <v>87</v>
      </c>
      <c r="L18" s="12" t="s">
        <v>87</v>
      </c>
      <c r="M18" s="12">
        <v>4</v>
      </c>
      <c r="N18" s="38" t="s">
        <v>105</v>
      </c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>
        <f>IF(AND(PCdb[[#This Row],[BCD]]&gt;UIoptions!$S$10,PCdb[[#This Row],[BCD]]&lt;UIoptions!$T$10),1,0)</f>
        <v>0</v>
      </c>
      <c r="BC18" s="38">
        <f>IF(AND(PCdb[[#This Row],[PD]]&gt;UIoptions!$S$11,PCdb[[#This Row],[PD]]&lt;UIoptions!$T$11),1,0)</f>
        <v>0</v>
      </c>
      <c r="BD18" s="38">
        <f>IF(AND(UIoptions!$P$14&lt;=PCdb[[#This Row],[PL (MAX)]],UIoptions!$P$14&gt;UIoptions!$S$14),1,0)</f>
        <v>1</v>
      </c>
      <c r="BE18" s="38">
        <f>IF(AND(PCdb[[#This Row],[SD]]&gt;UIoptions!$S$12,PCdb[[#This Row],[SD]]&lt;UIoptions!$T$12),1,0)</f>
        <v>0</v>
      </c>
      <c r="BF18" s="38">
        <f>IF(AND(PCdb[[#This Row],[SL]]&gt;UIoptions!$S$13,PCdb[[#This Row],[SL]]&lt;UIoptions!$T$13),1,0)</f>
        <v>0</v>
      </c>
      <c r="BG18" s="38">
        <f>IF(UIoptions!$N$35=1,IF(AND(PCdb[[#This Row],[SQ_SZ]]&gt;UIoptions!$S$15,PCdb[[#This Row],[SQ_SZ]]&lt;UIoptions!$T$15),1,0),1)</f>
        <v>0</v>
      </c>
      <c r="BH18" s="38">
        <f>IF(UIoptions!$N$35=2,IF(AND(PCdb[[#This Row],[ROUND_D]]&gt;UIoptions!$S$15,PCdb[[#This Row],[ROUND_D]]&lt;UIoptions!$T$15),1,0),1)</f>
        <v>1</v>
      </c>
      <c r="BI18" s="38">
        <f>IF(UIoptions!$N$75&lt;&gt;1,1,IF(AND(PCdb[[#This Row],[FL]]&gt;UIoptions!$S$16,PCdb[[#This Row],[FL]]&lt;UIoptions!$T$16),1,0))</f>
        <v>0</v>
      </c>
      <c r="BJ18" s="38" t="e">
        <f>IF(OR(UIoptions!$Q$18=PCdb[[#This Row],[THRU_SCREW]],UIoptions!$Q$18="NA"),1,0)</f>
        <v>#N/A</v>
      </c>
      <c r="BK18" s="38">
        <f>IF(OR(UIoptions!$P$19=PCdb[[#This Row],[THREAD_SZ]],UIoptions!$P$19="NA"),1,0)</f>
        <v>1</v>
      </c>
      <c r="BL18" s="38">
        <f>IF(UIoptions!$N$75=1,1,IF(AND(PCdb[[#This Row],[THREAD_L]]&gt;UIoptions!$S$17,PCdb[[#This Row],[THREAD_L]]&lt;UIoptions!$T$17),1,0))</f>
        <v>1</v>
      </c>
      <c r="BM18" s="38" t="e">
        <f>IF(SUM(PCdb[[#This Row],[BDhit]:[THREAD_Lhit]])=11,1,0)</f>
        <v>#N/A</v>
      </c>
      <c r="BN1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46.720.0246.352540NA4M3NANA4</v>
      </c>
      <c r="BO18" s="38" t="e">
        <f>SUM(PCdb[[#This Row],[BDhit]:[THREAD_Lhit]])</f>
        <v>#N/A</v>
      </c>
      <c r="BP18" s="38"/>
    </row>
    <row r="19" spans="1:68" x14ac:dyDescent="0.25">
      <c r="A19" s="7">
        <v>16</v>
      </c>
      <c r="B19" s="12">
        <v>45</v>
      </c>
      <c r="C19" s="12">
        <v>30</v>
      </c>
      <c r="D19" s="12">
        <v>4</v>
      </c>
      <c r="E19" s="12">
        <v>8</v>
      </c>
      <c r="F19" s="12">
        <v>25</v>
      </c>
      <c r="G19" s="12">
        <v>40</v>
      </c>
      <c r="H19" s="12" t="s">
        <v>87</v>
      </c>
      <c r="I19" s="12">
        <v>4</v>
      </c>
      <c r="J19" s="12" t="s">
        <v>105</v>
      </c>
      <c r="K19" s="12" t="s">
        <v>87</v>
      </c>
      <c r="L19" s="12" t="s">
        <v>87</v>
      </c>
      <c r="M19" s="12">
        <v>4</v>
      </c>
      <c r="N19" s="38" t="s">
        <v>105</v>
      </c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>
        <f>IF(AND(PCdb[[#This Row],[BCD]]&gt;UIoptions!$S$10,PCdb[[#This Row],[BCD]]&lt;UIoptions!$T$10),1,0)</f>
        <v>0</v>
      </c>
      <c r="BC19" s="38">
        <f>IF(AND(PCdb[[#This Row],[PD]]&gt;UIoptions!$S$11,PCdb[[#This Row],[PD]]&lt;UIoptions!$T$11),1,0)</f>
        <v>0</v>
      </c>
      <c r="BD19" s="38">
        <f>IF(AND(UIoptions!$P$14&lt;=PCdb[[#This Row],[PL (MAX)]],UIoptions!$P$14&gt;UIoptions!$S$14),1,0)</f>
        <v>1</v>
      </c>
      <c r="BE19" s="38">
        <f>IF(AND(PCdb[[#This Row],[SD]]&gt;UIoptions!$S$12,PCdb[[#This Row],[SD]]&lt;UIoptions!$T$12),1,0)</f>
        <v>0</v>
      </c>
      <c r="BF19" s="38">
        <f>IF(AND(PCdb[[#This Row],[SL]]&gt;UIoptions!$S$13,PCdb[[#This Row],[SL]]&lt;UIoptions!$T$13),1,0)</f>
        <v>0</v>
      </c>
      <c r="BG19" s="38">
        <f>IF(UIoptions!$N$35=1,IF(AND(PCdb[[#This Row],[SQ_SZ]]&gt;UIoptions!$S$15,PCdb[[#This Row],[SQ_SZ]]&lt;UIoptions!$T$15),1,0),1)</f>
        <v>0</v>
      </c>
      <c r="BH19" s="38">
        <f>IF(UIoptions!$N$35=2,IF(AND(PCdb[[#This Row],[ROUND_D]]&gt;UIoptions!$S$15,PCdb[[#This Row],[ROUND_D]]&lt;UIoptions!$T$15),1,0),1)</f>
        <v>1</v>
      </c>
      <c r="BI19" s="38">
        <f>IF(UIoptions!$N$75&lt;&gt;1,1,IF(AND(PCdb[[#This Row],[FL]]&gt;UIoptions!$S$16,PCdb[[#This Row],[FL]]&lt;UIoptions!$T$16),1,0))</f>
        <v>0</v>
      </c>
      <c r="BJ19" s="38" t="e">
        <f>IF(OR(UIoptions!$Q$18=PCdb[[#This Row],[THRU_SCREW]],UIoptions!$Q$18="NA"),1,0)</f>
        <v>#N/A</v>
      </c>
      <c r="BK19" s="38">
        <f>IF(OR(UIoptions!$P$19=PCdb[[#This Row],[THREAD_SZ]],UIoptions!$P$19="NA"),1,0)</f>
        <v>1</v>
      </c>
      <c r="BL19" s="38">
        <f>IF(UIoptions!$N$75=1,1,IF(AND(PCdb[[#This Row],[THREAD_L]]&gt;UIoptions!$S$17,PCdb[[#This Row],[THREAD_L]]&lt;UIoptions!$T$17),1,0))</f>
        <v>1</v>
      </c>
      <c r="BM19" s="38" t="e">
        <f>IF(SUM(PCdb[[#This Row],[BDhit]:[THREAD_Lhit]])=11,1,0)</f>
        <v>#N/A</v>
      </c>
      <c r="BN1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4530482540NA4M3NANA4</v>
      </c>
      <c r="BO19" s="38" t="e">
        <f>SUM(PCdb[[#This Row],[BDhit]:[THREAD_Lhit]])</f>
        <v>#N/A</v>
      </c>
      <c r="BP19" s="38"/>
    </row>
    <row r="20" spans="1:68" x14ac:dyDescent="0.25">
      <c r="A20" s="7">
        <v>17</v>
      </c>
      <c r="B20" s="12">
        <v>66.7</v>
      </c>
      <c r="C20" s="12">
        <v>38.1</v>
      </c>
      <c r="D20" s="12">
        <v>4</v>
      </c>
      <c r="E20" s="12">
        <v>9.5299999999999994</v>
      </c>
      <c r="F20" s="12">
        <v>31.8</v>
      </c>
      <c r="G20" s="12">
        <v>58</v>
      </c>
      <c r="H20" s="12" t="s">
        <v>87</v>
      </c>
      <c r="I20" s="12">
        <v>7</v>
      </c>
      <c r="J20" s="12" t="s">
        <v>7</v>
      </c>
      <c r="K20" s="12" t="s">
        <v>87</v>
      </c>
      <c r="L20" s="12" t="s">
        <v>87</v>
      </c>
      <c r="M20" s="12">
        <v>4</v>
      </c>
      <c r="N20" s="38" t="s">
        <v>7</v>
      </c>
      <c r="O20" s="38">
        <v>36.200000000000003</v>
      </c>
      <c r="P20" s="38">
        <v>23</v>
      </c>
      <c r="Q20" s="38">
        <v>0</v>
      </c>
      <c r="R20" s="38" t="s">
        <v>130</v>
      </c>
      <c r="S20" s="38" t="s">
        <v>172</v>
      </c>
      <c r="T20" s="38">
        <v>45</v>
      </c>
      <c r="U20" s="38">
        <v>90</v>
      </c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>
        <v>22</v>
      </c>
      <c r="AK20" s="38" t="s">
        <v>87</v>
      </c>
      <c r="AL20" s="38" t="s">
        <v>130</v>
      </c>
      <c r="AM20" s="38" t="s">
        <v>177</v>
      </c>
      <c r="AN20" s="38">
        <v>45</v>
      </c>
      <c r="AO20" s="38">
        <v>90</v>
      </c>
      <c r="AP20" s="38">
        <v>22</v>
      </c>
      <c r="AQ20" s="38">
        <v>0</v>
      </c>
      <c r="AR20" s="38" t="s">
        <v>130</v>
      </c>
      <c r="AS20" s="38" t="s">
        <v>176</v>
      </c>
      <c r="AT20" s="38">
        <v>45</v>
      </c>
      <c r="AU20" s="38">
        <v>90</v>
      </c>
      <c r="AV20" s="38">
        <v>25</v>
      </c>
      <c r="AW20" s="38">
        <v>0</v>
      </c>
      <c r="AX20" s="38" t="s">
        <v>130</v>
      </c>
      <c r="AY20" s="38" t="s">
        <v>176</v>
      </c>
      <c r="AZ20" s="38">
        <v>45</v>
      </c>
      <c r="BA20" s="38">
        <v>90</v>
      </c>
      <c r="BB20" s="38">
        <f>IF(AND(PCdb[[#This Row],[BCD]]&gt;UIoptions!$S$10,PCdb[[#This Row],[BCD]]&lt;UIoptions!$T$10),1,0)</f>
        <v>0</v>
      </c>
      <c r="BC20" s="38">
        <f>IF(AND(PCdb[[#This Row],[PD]]&gt;UIoptions!$S$11,PCdb[[#This Row],[PD]]&lt;UIoptions!$T$11),1,0)</f>
        <v>0</v>
      </c>
      <c r="BD20" s="38">
        <f>IF(AND(UIoptions!$P$14&lt;=PCdb[[#This Row],[PL (MAX)]],UIoptions!$P$14&gt;UIoptions!$S$14),1,0)</f>
        <v>1</v>
      </c>
      <c r="BE20" s="38">
        <f>IF(AND(PCdb[[#This Row],[SD]]&gt;UIoptions!$S$12,PCdb[[#This Row],[SD]]&lt;UIoptions!$T$12),1,0)</f>
        <v>0</v>
      </c>
      <c r="BF20" s="38">
        <f>IF(AND(PCdb[[#This Row],[SL]]&gt;UIoptions!$S$13,PCdb[[#This Row],[SL]]&lt;UIoptions!$T$13),1,0)</f>
        <v>0</v>
      </c>
      <c r="BG20" s="38">
        <f>IF(UIoptions!$N$35=1,IF(AND(PCdb[[#This Row],[SQ_SZ]]&gt;UIoptions!$S$15,PCdb[[#This Row],[SQ_SZ]]&lt;UIoptions!$T$15),1,0),1)</f>
        <v>0</v>
      </c>
      <c r="BH20" s="38">
        <f>IF(UIoptions!$N$35=2,IF(AND(PCdb[[#This Row],[ROUND_D]]&gt;UIoptions!$S$15,PCdb[[#This Row],[ROUND_D]]&lt;UIoptions!$T$15),1,0),1)</f>
        <v>1</v>
      </c>
      <c r="BI20" s="38">
        <f>IF(UIoptions!$N$75&lt;&gt;1,1,IF(AND(PCdb[[#This Row],[FL]]&gt;UIoptions!$S$16,PCdb[[#This Row],[FL]]&lt;UIoptions!$T$16),1,0))</f>
        <v>0</v>
      </c>
      <c r="BJ20" s="38" t="e">
        <f>IF(OR(UIoptions!$Q$18=PCdb[[#This Row],[THRU_SCREW]],UIoptions!$Q$18="NA"),1,0)</f>
        <v>#N/A</v>
      </c>
      <c r="BK20" s="38">
        <f>IF(OR(UIoptions!$P$19=PCdb[[#This Row],[THREAD_SZ]],UIoptions!$P$19="NA"),1,0)</f>
        <v>1</v>
      </c>
      <c r="BL20" s="38">
        <f>IF(UIoptions!$N$75=1,1,IF(AND(PCdb[[#This Row],[THREAD_L]]&gt;UIoptions!$S$17,PCdb[[#This Row],[THREAD_L]]&lt;UIoptions!$T$17),1,0))</f>
        <v>1</v>
      </c>
      <c r="BM20" s="38" t="e">
        <f>IF(SUM(PCdb[[#This Row],[BDhit]:[THREAD_Lhit]])=11,1,0)</f>
        <v>#N/A</v>
      </c>
      <c r="BN2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66.738.149.5331.858NA7M4NANA4</v>
      </c>
      <c r="BO20" s="38" t="e">
        <f>SUM(PCdb[[#This Row],[BDhit]:[THREAD_Lhit]])</f>
        <v>#N/A</v>
      </c>
      <c r="BP20" s="38"/>
    </row>
    <row r="21" spans="1:68" x14ac:dyDescent="0.25">
      <c r="A21" s="7">
        <v>18</v>
      </c>
      <c r="B21" s="12">
        <v>65</v>
      </c>
      <c r="C21" s="12">
        <v>40</v>
      </c>
      <c r="D21" s="12">
        <v>4</v>
      </c>
      <c r="E21" s="12">
        <v>9</v>
      </c>
      <c r="F21" s="12">
        <v>20</v>
      </c>
      <c r="G21" s="12">
        <v>58</v>
      </c>
      <c r="H21" s="12" t="s">
        <v>87</v>
      </c>
      <c r="I21" s="12">
        <v>7</v>
      </c>
      <c r="J21" s="12" t="s">
        <v>45</v>
      </c>
      <c r="K21" s="12" t="s">
        <v>87</v>
      </c>
      <c r="L21" s="12" t="s">
        <v>87</v>
      </c>
      <c r="M21" s="12">
        <v>4</v>
      </c>
      <c r="N21" s="38" t="s">
        <v>45</v>
      </c>
      <c r="O21" s="38"/>
      <c r="P21" s="38"/>
      <c r="Q21" s="38"/>
      <c r="R21" s="38"/>
      <c r="S21" s="38"/>
      <c r="T21" s="38"/>
      <c r="U21" s="38"/>
      <c r="V21" s="38">
        <v>45.2</v>
      </c>
      <c r="W21" s="38">
        <v>26</v>
      </c>
      <c r="X21" s="38" t="s">
        <v>87</v>
      </c>
      <c r="Y21" s="38" t="s">
        <v>130</v>
      </c>
      <c r="Z21" s="38" t="s">
        <v>172</v>
      </c>
      <c r="AA21" s="38">
        <v>45</v>
      </c>
      <c r="AB21" s="38">
        <v>90</v>
      </c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>
        <v>25</v>
      </c>
      <c r="AQ21" s="38">
        <v>0</v>
      </c>
      <c r="AR21" s="38" t="s">
        <v>130</v>
      </c>
      <c r="AS21" s="38" t="s">
        <v>176</v>
      </c>
      <c r="AT21" s="38">
        <v>45</v>
      </c>
      <c r="AU21" s="38">
        <v>90</v>
      </c>
      <c r="AV21" s="38"/>
      <c r="AW21" s="38"/>
      <c r="AX21" s="38"/>
      <c r="AY21" s="38"/>
      <c r="AZ21" s="38"/>
      <c r="BA21" s="38"/>
      <c r="BB21" s="38">
        <f>IF(AND(PCdb[[#This Row],[BCD]]&gt;UIoptions!$S$10,PCdb[[#This Row],[BCD]]&lt;UIoptions!$T$10),1,0)</f>
        <v>0</v>
      </c>
      <c r="BC21" s="38">
        <f>IF(AND(PCdb[[#This Row],[PD]]&gt;UIoptions!$S$11,PCdb[[#This Row],[PD]]&lt;UIoptions!$T$11),1,0)</f>
        <v>0</v>
      </c>
      <c r="BD21" s="38">
        <f>IF(AND(UIoptions!$P$14&lt;=PCdb[[#This Row],[PL (MAX)]],UIoptions!$P$14&gt;UIoptions!$S$14),1,0)</f>
        <v>1</v>
      </c>
      <c r="BE21" s="38">
        <f>IF(AND(PCdb[[#This Row],[SD]]&gt;UIoptions!$S$12,PCdb[[#This Row],[SD]]&lt;UIoptions!$T$12),1,0)</f>
        <v>0</v>
      </c>
      <c r="BF21" s="38">
        <f>IF(AND(PCdb[[#This Row],[SL]]&gt;UIoptions!$S$13,PCdb[[#This Row],[SL]]&lt;UIoptions!$T$13),1,0)</f>
        <v>0</v>
      </c>
      <c r="BG21" s="38">
        <f>IF(UIoptions!$N$35=1,IF(AND(PCdb[[#This Row],[SQ_SZ]]&gt;UIoptions!$S$15,PCdb[[#This Row],[SQ_SZ]]&lt;UIoptions!$T$15),1,0),1)</f>
        <v>0</v>
      </c>
      <c r="BH21" s="38">
        <f>IF(UIoptions!$N$35=2,IF(AND(PCdb[[#This Row],[ROUND_D]]&gt;UIoptions!$S$15,PCdb[[#This Row],[ROUND_D]]&lt;UIoptions!$T$15),1,0),1)</f>
        <v>1</v>
      </c>
      <c r="BI21" s="38">
        <f>IF(UIoptions!$N$75&lt;&gt;1,1,IF(AND(PCdb[[#This Row],[FL]]&gt;UIoptions!$S$16,PCdb[[#This Row],[FL]]&lt;UIoptions!$T$16),1,0))</f>
        <v>0</v>
      </c>
      <c r="BJ21" s="38" t="e">
        <f>IF(OR(UIoptions!$Q$18=PCdb[[#This Row],[THRU_SCREW]],UIoptions!$Q$18="NA"),1,0)</f>
        <v>#N/A</v>
      </c>
      <c r="BK21" s="38">
        <f>IF(OR(UIoptions!$P$19=PCdb[[#This Row],[THREAD_SZ]],UIoptions!$P$19="NA"),1,0)</f>
        <v>1</v>
      </c>
      <c r="BL21" s="38">
        <f>IF(UIoptions!$N$75=1,1,IF(AND(PCdb[[#This Row],[THREAD_L]]&gt;UIoptions!$S$17,PCdb[[#This Row],[THREAD_L]]&lt;UIoptions!$T$17),1,0))</f>
        <v>1</v>
      </c>
      <c r="BM21" s="38" t="e">
        <f>IF(SUM(PCdb[[#This Row],[BDhit]:[THREAD_Lhit]])=11,1,0)</f>
        <v>#N/A</v>
      </c>
      <c r="BN2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6540492058NA7M5NANA4</v>
      </c>
      <c r="BO21" s="38" t="e">
        <f>SUM(PCdb[[#This Row],[BDhit]:[THREAD_Lhit]])</f>
        <v>#N/A</v>
      </c>
      <c r="BP21" s="38"/>
    </row>
    <row r="22" spans="1:68" x14ac:dyDescent="0.25">
      <c r="A22" s="7">
        <v>19</v>
      </c>
      <c r="B22" s="12">
        <v>66.7</v>
      </c>
      <c r="C22" s="12">
        <v>38.1</v>
      </c>
      <c r="D22" s="12">
        <v>4</v>
      </c>
      <c r="E22" s="12">
        <v>9.5299999999999994</v>
      </c>
      <c r="F22" s="12">
        <v>20.6</v>
      </c>
      <c r="G22" s="12">
        <v>58</v>
      </c>
      <c r="H22" s="12" t="s">
        <v>87</v>
      </c>
      <c r="I22" s="12">
        <v>7</v>
      </c>
      <c r="J22" s="12" t="s">
        <v>7</v>
      </c>
      <c r="K22" s="12" t="s">
        <v>87</v>
      </c>
      <c r="L22" s="12" t="s">
        <v>87</v>
      </c>
      <c r="M22" s="12">
        <v>4</v>
      </c>
      <c r="N22" s="38" t="s">
        <v>7</v>
      </c>
      <c r="O22" s="38">
        <v>38.700000000000003</v>
      </c>
      <c r="P22" s="38">
        <v>23</v>
      </c>
      <c r="Q22" s="38">
        <v>0</v>
      </c>
      <c r="R22" s="38" t="s">
        <v>130</v>
      </c>
      <c r="S22" s="38" t="s">
        <v>172</v>
      </c>
      <c r="T22" s="38">
        <v>45</v>
      </c>
      <c r="U22" s="38">
        <v>90</v>
      </c>
      <c r="V22" s="38"/>
      <c r="W22" s="38"/>
      <c r="X22" s="38"/>
      <c r="Y22" s="38"/>
      <c r="Z22" s="38"/>
      <c r="AA22" s="38"/>
      <c r="AB22" s="38"/>
      <c r="AC22" s="38">
        <v>48.7</v>
      </c>
      <c r="AD22" s="38">
        <v>4</v>
      </c>
      <c r="AE22" s="38">
        <v>47</v>
      </c>
      <c r="AF22" s="38" t="s">
        <v>130</v>
      </c>
      <c r="AG22" s="38" t="s">
        <v>171</v>
      </c>
      <c r="AH22" s="38">
        <v>45</v>
      </c>
      <c r="AI22" s="38">
        <v>90</v>
      </c>
      <c r="AJ22" s="38">
        <v>22</v>
      </c>
      <c r="AK22" s="38">
        <v>0</v>
      </c>
      <c r="AL22" s="38" t="s">
        <v>130</v>
      </c>
      <c r="AM22" s="38" t="s">
        <v>177</v>
      </c>
      <c r="AN22" s="38">
        <v>45</v>
      </c>
      <c r="AO22" s="38">
        <v>90</v>
      </c>
      <c r="AP22" s="38">
        <v>22</v>
      </c>
      <c r="AQ22" s="38">
        <v>0</v>
      </c>
      <c r="AR22" s="38" t="s">
        <v>130</v>
      </c>
      <c r="AS22" s="38" t="s">
        <v>176</v>
      </c>
      <c r="AT22" s="38">
        <v>45</v>
      </c>
      <c r="AU22" s="38">
        <v>90</v>
      </c>
      <c r="AV22" s="38">
        <v>26</v>
      </c>
      <c r="AW22" s="38" t="s">
        <v>87</v>
      </c>
      <c r="AX22" s="38" t="s">
        <v>130</v>
      </c>
      <c r="AY22" s="38" t="s">
        <v>176</v>
      </c>
      <c r="AZ22" s="38">
        <v>45</v>
      </c>
      <c r="BA22" s="38">
        <v>90</v>
      </c>
      <c r="BB22" s="38">
        <f>IF(AND(PCdb[[#This Row],[BCD]]&gt;UIoptions!$S$10,PCdb[[#This Row],[BCD]]&lt;UIoptions!$T$10),1,0)</f>
        <v>0</v>
      </c>
      <c r="BC22" s="38">
        <f>IF(AND(PCdb[[#This Row],[PD]]&gt;UIoptions!$S$11,PCdb[[#This Row],[PD]]&lt;UIoptions!$T$11),1,0)</f>
        <v>0</v>
      </c>
      <c r="BD22" s="38">
        <f>IF(AND(UIoptions!$P$14&lt;=PCdb[[#This Row],[PL (MAX)]],UIoptions!$P$14&gt;UIoptions!$S$14),1,0)</f>
        <v>1</v>
      </c>
      <c r="BE22" s="38">
        <f>IF(AND(PCdb[[#This Row],[SD]]&gt;UIoptions!$S$12,PCdb[[#This Row],[SD]]&lt;UIoptions!$T$12),1,0)</f>
        <v>0</v>
      </c>
      <c r="BF22" s="38">
        <f>IF(AND(PCdb[[#This Row],[SL]]&gt;UIoptions!$S$13,PCdb[[#This Row],[SL]]&lt;UIoptions!$T$13),1,0)</f>
        <v>0</v>
      </c>
      <c r="BG22" s="38">
        <f>IF(UIoptions!$N$35=1,IF(AND(PCdb[[#This Row],[SQ_SZ]]&gt;UIoptions!$S$15,PCdb[[#This Row],[SQ_SZ]]&lt;UIoptions!$T$15),1,0),1)</f>
        <v>0</v>
      </c>
      <c r="BH22" s="38">
        <f>IF(UIoptions!$N$35=2,IF(AND(PCdb[[#This Row],[ROUND_D]]&gt;UIoptions!$S$15,PCdb[[#This Row],[ROUND_D]]&lt;UIoptions!$T$15),1,0),1)</f>
        <v>1</v>
      </c>
      <c r="BI22" s="38">
        <f>IF(UIoptions!$N$75&lt;&gt;1,1,IF(AND(PCdb[[#This Row],[FL]]&gt;UIoptions!$S$16,PCdb[[#This Row],[FL]]&lt;UIoptions!$T$16),1,0))</f>
        <v>0</v>
      </c>
      <c r="BJ22" s="38" t="e">
        <f>IF(OR(UIoptions!$Q$18=PCdb[[#This Row],[THRU_SCREW]],UIoptions!$Q$18="NA"),1,0)</f>
        <v>#N/A</v>
      </c>
      <c r="BK22" s="38">
        <f>IF(OR(UIoptions!$P$19=PCdb[[#This Row],[THREAD_SZ]],UIoptions!$P$19="NA"),1,0)</f>
        <v>1</v>
      </c>
      <c r="BL22" s="38">
        <f>IF(UIoptions!$N$75=1,1,IF(AND(PCdb[[#This Row],[THREAD_L]]&gt;UIoptions!$S$17,PCdb[[#This Row],[THREAD_L]]&lt;UIoptions!$T$17),1,0))</f>
        <v>1</v>
      </c>
      <c r="BM22" s="38" t="e">
        <f>IF(SUM(PCdb[[#This Row],[BDhit]:[THREAD_Lhit]])=11,1,0)</f>
        <v>#N/A</v>
      </c>
      <c r="BN2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66.738.149.5320.658NA7M4NANA4</v>
      </c>
      <c r="BO22" s="38" t="e">
        <f>SUM(PCdb[[#This Row],[BDhit]:[THREAD_Lhit]])</f>
        <v>#N/A</v>
      </c>
      <c r="BP22" s="38"/>
    </row>
    <row r="23" spans="1:68" x14ac:dyDescent="0.25">
      <c r="A23" s="7">
        <v>20</v>
      </c>
      <c r="B23" s="12">
        <v>85</v>
      </c>
      <c r="C23" s="12">
        <v>60</v>
      </c>
      <c r="D23" s="12">
        <v>4</v>
      </c>
      <c r="E23" s="12">
        <v>14</v>
      </c>
      <c r="F23" s="12">
        <v>30</v>
      </c>
      <c r="G23" s="12">
        <v>70</v>
      </c>
      <c r="H23" s="12" t="s">
        <v>87</v>
      </c>
      <c r="I23" s="12">
        <v>6.9</v>
      </c>
      <c r="J23" s="12" t="s">
        <v>45</v>
      </c>
      <c r="K23" s="12" t="s">
        <v>87</v>
      </c>
      <c r="L23" s="12" t="s">
        <v>87</v>
      </c>
      <c r="M23" s="12">
        <v>4</v>
      </c>
      <c r="N23" s="38" t="s">
        <v>45</v>
      </c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25">
        <v>48.7</v>
      </c>
      <c r="AD23" s="38">
        <v>32</v>
      </c>
      <c r="AE23" s="38" t="s">
        <v>87</v>
      </c>
      <c r="AF23" s="38" t="s">
        <v>130</v>
      </c>
      <c r="AG23" s="38" t="s">
        <v>172</v>
      </c>
      <c r="AH23" s="38">
        <v>45</v>
      </c>
      <c r="AI23" s="38">
        <v>90</v>
      </c>
      <c r="AJ23" s="38"/>
      <c r="AK23" s="38"/>
      <c r="AL23" s="38"/>
      <c r="AM23" s="38"/>
      <c r="AN23" s="38"/>
      <c r="AO23" s="38"/>
      <c r="AP23" s="38">
        <v>32</v>
      </c>
      <c r="AQ23" s="38">
        <v>0</v>
      </c>
      <c r="AR23" s="38" t="s">
        <v>130</v>
      </c>
      <c r="AS23" s="38" t="s">
        <v>177</v>
      </c>
      <c r="AT23" s="38">
        <v>45</v>
      </c>
      <c r="AU23" s="38">
        <v>90</v>
      </c>
      <c r="AV23" s="38">
        <v>32</v>
      </c>
      <c r="AW23" s="38">
        <v>0</v>
      </c>
      <c r="AX23" s="38" t="s">
        <v>263</v>
      </c>
      <c r="AY23" s="38" t="s">
        <v>176</v>
      </c>
      <c r="AZ23" s="38">
        <v>45</v>
      </c>
      <c r="BA23" s="38">
        <v>90</v>
      </c>
      <c r="BB23" s="38">
        <f>IF(AND(PCdb[[#This Row],[BCD]]&gt;UIoptions!$S$10,PCdb[[#This Row],[BCD]]&lt;UIoptions!$T$10),1,0)</f>
        <v>0</v>
      </c>
      <c r="BC23" s="38">
        <f>IF(AND(PCdb[[#This Row],[PD]]&gt;UIoptions!$S$11,PCdb[[#This Row],[PD]]&lt;UIoptions!$T$11),1,0)</f>
        <v>1</v>
      </c>
      <c r="BD23" s="38">
        <f>IF(AND(UIoptions!$P$14&lt;=PCdb[[#This Row],[PL (MAX)]],UIoptions!$P$14&gt;UIoptions!$S$14),1,0)</f>
        <v>1</v>
      </c>
      <c r="BE23" s="38">
        <f>IF(AND(PCdb[[#This Row],[SD]]&gt;UIoptions!$S$12,PCdb[[#This Row],[SD]]&lt;UIoptions!$T$12),1,0)</f>
        <v>0</v>
      </c>
      <c r="BF23" s="38">
        <f>IF(AND(PCdb[[#This Row],[SL]]&gt;UIoptions!$S$13,PCdb[[#This Row],[SL]]&lt;UIoptions!$T$13),1,0)</f>
        <v>0</v>
      </c>
      <c r="BG23" s="38">
        <f>IF(UIoptions!$N$35=1,IF(AND(PCdb[[#This Row],[SQ_SZ]]&gt;UIoptions!$S$15,PCdb[[#This Row],[SQ_SZ]]&lt;UIoptions!$T$15),1,0),1)</f>
        <v>1</v>
      </c>
      <c r="BH23" s="38">
        <f>IF(UIoptions!$N$35=2,IF(AND(PCdb[[#This Row],[ROUND_D]]&gt;UIoptions!$S$15,PCdb[[#This Row],[ROUND_D]]&lt;UIoptions!$T$15),1,0),1)</f>
        <v>1</v>
      </c>
      <c r="BI23" s="38">
        <f>IF(UIoptions!$N$75&lt;&gt;1,1,IF(AND(PCdb[[#This Row],[FL]]&gt;UIoptions!$S$16,PCdb[[#This Row],[FL]]&lt;UIoptions!$T$16),1,0))</f>
        <v>0</v>
      </c>
      <c r="BJ23" s="38" t="e">
        <f>IF(OR(UIoptions!$Q$18=PCdb[[#This Row],[THRU_SCREW]],UIoptions!$Q$18="NA"),1,0)</f>
        <v>#N/A</v>
      </c>
      <c r="BK23" s="38">
        <f>IF(OR(UIoptions!$P$19=PCdb[[#This Row],[THREAD_SZ]],UIoptions!$P$19="NA"),1,0)</f>
        <v>1</v>
      </c>
      <c r="BL23" s="38">
        <f>IF(UIoptions!$N$75=1,1,IF(AND(PCdb[[#This Row],[THREAD_L]]&gt;UIoptions!$S$17,PCdb[[#This Row],[THREAD_L]]&lt;UIoptions!$T$17),1,0))</f>
        <v>1</v>
      </c>
      <c r="BM23" s="38" t="e">
        <f>IF(SUM(PCdb[[#This Row],[BDhit]:[THREAD_Lhit]])=11,1,0)</f>
        <v>#N/A</v>
      </c>
      <c r="BN2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85604143070NA6.9M5NANA4</v>
      </c>
      <c r="BO23" s="38" t="e">
        <f>SUM(PCdb[[#This Row],[BDhit]:[THREAD_Lhit]])</f>
        <v>#N/A</v>
      </c>
      <c r="BP23" s="38"/>
    </row>
    <row r="24" spans="1:68" x14ac:dyDescent="0.25">
      <c r="A24" s="7">
        <v>21</v>
      </c>
      <c r="B24" s="93">
        <v>75</v>
      </c>
      <c r="C24" s="93">
        <v>60</v>
      </c>
      <c r="D24" s="93">
        <v>4</v>
      </c>
      <c r="E24" s="93">
        <v>11</v>
      </c>
      <c r="F24" s="93">
        <v>23</v>
      </c>
      <c r="G24" s="93">
        <v>70</v>
      </c>
      <c r="H24" s="93" t="s">
        <v>87</v>
      </c>
      <c r="I24" s="93">
        <v>6.9</v>
      </c>
      <c r="J24" s="93" t="s">
        <v>45</v>
      </c>
      <c r="K24" s="93" t="s">
        <v>87</v>
      </c>
      <c r="L24" s="93" t="s">
        <v>87</v>
      </c>
      <c r="M24" s="93">
        <v>4</v>
      </c>
      <c r="N24" s="38" t="s">
        <v>45</v>
      </c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>
        <v>33</v>
      </c>
      <c r="AQ24" s="38" t="s">
        <v>87</v>
      </c>
      <c r="AR24" s="38" t="s">
        <v>130</v>
      </c>
      <c r="AS24" s="38" t="s">
        <v>177</v>
      </c>
      <c r="AT24" s="38">
        <v>45</v>
      </c>
      <c r="AU24" s="38">
        <v>90</v>
      </c>
      <c r="AV24" s="38"/>
      <c r="AW24" s="38"/>
      <c r="AX24" s="38"/>
      <c r="AY24" s="38"/>
      <c r="AZ24" s="38"/>
      <c r="BA24" s="38"/>
      <c r="BB24" s="38">
        <f>IF(AND(PCdb[[#This Row],[BCD]]&gt;UIoptions!$S$10,PCdb[[#This Row],[BCD]]&lt;UIoptions!$T$10),1,0)</f>
        <v>1</v>
      </c>
      <c r="BC24" s="38">
        <f>IF(AND(PCdb[[#This Row],[PD]]&gt;UIoptions!$S$11,PCdb[[#This Row],[PD]]&lt;UIoptions!$T$11),1,0)</f>
        <v>1</v>
      </c>
      <c r="BD24" s="38">
        <f>IF(AND(UIoptions!$P$14&lt;=PCdb[[#This Row],[PL (MAX)]],UIoptions!$P$14&gt;UIoptions!$S$14),1,0)</f>
        <v>1</v>
      </c>
      <c r="BE24" s="38">
        <f>IF(AND(PCdb[[#This Row],[SD]]&gt;UIoptions!$S$12,PCdb[[#This Row],[SD]]&lt;UIoptions!$T$12),1,0)</f>
        <v>1</v>
      </c>
      <c r="BF24" s="38">
        <f>IF(AND(PCdb[[#This Row],[SL]]&gt;UIoptions!$S$13,PCdb[[#This Row],[SL]]&lt;UIoptions!$T$13),1,0)</f>
        <v>1</v>
      </c>
      <c r="BG24" s="38">
        <f>IF(UIoptions!$N$35=1,IF(AND(PCdb[[#This Row],[SQ_SZ]]&gt;UIoptions!$S$15,PCdb[[#This Row],[SQ_SZ]]&lt;UIoptions!$T$15),1,0),1)</f>
        <v>1</v>
      </c>
      <c r="BH24" s="38">
        <f>IF(UIoptions!$N$35=2,IF(AND(PCdb[[#This Row],[ROUND_D]]&gt;UIoptions!$S$15,PCdb[[#This Row],[ROUND_D]]&lt;UIoptions!$T$15),1,0),1)</f>
        <v>1</v>
      </c>
      <c r="BI24" s="38">
        <f>IF(UIoptions!$N$75&lt;&gt;1,1,IF(AND(PCdb[[#This Row],[FL]]&gt;UIoptions!$S$16,PCdb[[#This Row],[FL]]&lt;UIoptions!$T$16),1,0))</f>
        <v>0</v>
      </c>
      <c r="BJ24" s="38" t="e">
        <f>IF(OR(UIoptions!$Q$18=PCdb[[#This Row],[THRU_SCREW]],UIoptions!$Q$18="NA"),1,0)</f>
        <v>#N/A</v>
      </c>
      <c r="BK24" s="38">
        <f>IF(OR(UIoptions!$P$19=PCdb[[#This Row],[THREAD_SZ]],UIoptions!$P$19="NA"),1,0)</f>
        <v>1</v>
      </c>
      <c r="BL24" s="38">
        <f>IF(UIoptions!$N$75=1,1,IF(AND(PCdb[[#This Row],[THREAD_L]]&gt;UIoptions!$S$17,PCdb[[#This Row],[THREAD_L]]&lt;UIoptions!$T$17),1,0))</f>
        <v>1</v>
      </c>
      <c r="BM24" s="38" t="e">
        <f>IF(SUM(PCdb[[#This Row],[BDhit]:[THREAD_Lhit]])=11,1,0)</f>
        <v>#N/A</v>
      </c>
      <c r="BN2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75604112370NA6.9M5NANA4</v>
      </c>
      <c r="BO24" s="38" t="e">
        <f>SUM(PCdb[[#This Row],[BDhit]:[THREAD_Lhit]])</f>
        <v>#N/A</v>
      </c>
      <c r="BP24" s="38"/>
    </row>
    <row r="25" spans="1:68" x14ac:dyDescent="0.25">
      <c r="A25" s="7">
        <v>22</v>
      </c>
      <c r="B25" s="97">
        <v>98.4</v>
      </c>
      <c r="C25" s="12">
        <v>73.03</v>
      </c>
      <c r="D25" s="12">
        <v>4</v>
      </c>
      <c r="E25" s="12">
        <v>12.7</v>
      </c>
      <c r="F25" s="12">
        <v>31.8</v>
      </c>
      <c r="G25" s="12">
        <v>84</v>
      </c>
      <c r="H25" s="12" t="s">
        <v>87</v>
      </c>
      <c r="I25" s="12">
        <v>8</v>
      </c>
      <c r="J25" s="12" t="s">
        <v>45</v>
      </c>
      <c r="K25" s="12" t="s">
        <v>87</v>
      </c>
      <c r="L25" s="12" t="s">
        <v>87</v>
      </c>
      <c r="M25" s="12">
        <v>4</v>
      </c>
      <c r="N25" s="93" t="s">
        <v>45</v>
      </c>
      <c r="O25" s="38" t="s">
        <v>87</v>
      </c>
      <c r="P25" s="38" t="s">
        <v>87</v>
      </c>
      <c r="Q25" s="38" t="s">
        <v>87</v>
      </c>
      <c r="R25" s="38" t="s">
        <v>87</v>
      </c>
      <c r="S25" s="38" t="s">
        <v>87</v>
      </c>
      <c r="T25" s="38" t="s">
        <v>87</v>
      </c>
      <c r="U25" s="38" t="s">
        <v>87</v>
      </c>
      <c r="V25" s="38">
        <v>41.7</v>
      </c>
      <c r="W25" s="38">
        <v>37.799999999999997</v>
      </c>
      <c r="X25" s="38">
        <v>0</v>
      </c>
      <c r="Y25" s="38" t="s">
        <v>130</v>
      </c>
      <c r="Z25" s="38" t="s">
        <v>172</v>
      </c>
      <c r="AA25" s="38">
        <v>45</v>
      </c>
      <c r="AB25" s="38">
        <v>90</v>
      </c>
      <c r="AC25" s="38">
        <v>45.2</v>
      </c>
      <c r="AD25" s="38">
        <v>39</v>
      </c>
      <c r="AE25" s="38">
        <v>0</v>
      </c>
      <c r="AF25" s="38" t="s">
        <v>130</v>
      </c>
      <c r="AG25" s="38" t="s">
        <v>172</v>
      </c>
      <c r="AH25" s="38"/>
      <c r="AI25" s="38"/>
      <c r="AJ25" s="38" t="s">
        <v>87</v>
      </c>
      <c r="AK25" s="38" t="s">
        <v>87</v>
      </c>
      <c r="AL25" s="38" t="s">
        <v>87</v>
      </c>
      <c r="AM25" s="38" t="s">
        <v>87</v>
      </c>
      <c r="AN25" s="38" t="s">
        <v>87</v>
      </c>
      <c r="AO25" s="38" t="s">
        <v>87</v>
      </c>
      <c r="AP25" s="38" t="s">
        <v>87</v>
      </c>
      <c r="AQ25" s="38" t="s">
        <v>87</v>
      </c>
      <c r="AR25" s="38" t="s">
        <v>87</v>
      </c>
      <c r="AS25" s="38" t="s">
        <v>87</v>
      </c>
      <c r="AT25" s="38" t="s">
        <v>87</v>
      </c>
      <c r="AU25" s="38" t="s">
        <v>87</v>
      </c>
      <c r="AV25" s="38">
        <v>39</v>
      </c>
      <c r="AW25" s="38">
        <v>0</v>
      </c>
      <c r="AX25" s="38" t="s">
        <v>130</v>
      </c>
      <c r="AY25" s="38" t="s">
        <v>177</v>
      </c>
      <c r="AZ25" s="38">
        <v>45</v>
      </c>
      <c r="BA25" s="38">
        <v>90</v>
      </c>
      <c r="BB25" s="38">
        <f>IF(AND(PCdb[[#This Row],[BCD]]&gt;UIoptions!$S$10,PCdb[[#This Row],[BCD]]&lt;UIoptions!$T$10),1,0)</f>
        <v>0</v>
      </c>
      <c r="BC25" s="38">
        <f>IF(AND(PCdb[[#This Row],[PD]]&gt;UIoptions!$S$11,PCdb[[#This Row],[PD]]&lt;UIoptions!$T$11),1,0)</f>
        <v>0</v>
      </c>
      <c r="BD25" s="38">
        <f>IF(AND(UIoptions!$P$14&lt;=PCdb[[#This Row],[PL (MAX)]],UIoptions!$P$14&gt;UIoptions!$S$14),1,0)</f>
        <v>1</v>
      </c>
      <c r="BE25" s="38">
        <f>IF(AND(PCdb[[#This Row],[SD]]&gt;UIoptions!$S$12,PCdb[[#This Row],[SD]]&lt;UIoptions!$T$12),1,0)</f>
        <v>0</v>
      </c>
      <c r="BF25" s="38">
        <f>IF(AND(PCdb[[#This Row],[SL]]&gt;UIoptions!$S$13,PCdb[[#This Row],[SL]]&lt;UIoptions!$T$13),1,0)</f>
        <v>0</v>
      </c>
      <c r="BG25" s="38">
        <f>IF(UIoptions!$N$35=1,IF(AND(PCdb[[#This Row],[SQ_SZ]]&gt;UIoptions!$S$15,PCdb[[#This Row],[SQ_SZ]]&lt;UIoptions!$T$15),1,0),1)</f>
        <v>0</v>
      </c>
      <c r="BH25" s="38">
        <f>IF(UIoptions!$N$35=2,IF(AND(PCdb[[#This Row],[ROUND_D]]&gt;UIoptions!$S$15,PCdb[[#This Row],[ROUND_D]]&lt;UIoptions!$T$15),1,0),1)</f>
        <v>1</v>
      </c>
      <c r="BI25" s="38">
        <f>IF(UIoptions!$N$75&lt;&gt;1,1,IF(AND(PCdb[[#This Row],[FL]]&gt;UIoptions!$S$16,PCdb[[#This Row],[FL]]&lt;UIoptions!$T$16),1,0))</f>
        <v>0</v>
      </c>
      <c r="BJ25" s="38" t="e">
        <f>IF(OR(UIoptions!$Q$18=PCdb[[#This Row],[THRU_SCREW]],UIoptions!$Q$18="NA"),1,0)</f>
        <v>#N/A</v>
      </c>
      <c r="BK25" s="38">
        <f>IF(OR(UIoptions!$P$19=PCdb[[#This Row],[THREAD_SZ]],UIoptions!$P$19="NA"),1,0)</f>
        <v>1</v>
      </c>
      <c r="BL25" s="38">
        <f>IF(UIoptions!$N$75=1,1,IF(AND(PCdb[[#This Row],[THREAD_L]]&gt;UIoptions!$S$17,PCdb[[#This Row],[THREAD_L]]&lt;UIoptions!$T$17),1,0))</f>
        <v>1</v>
      </c>
      <c r="BM25" s="38" t="e">
        <f>IF(SUM(PCdb[[#This Row],[BDhit]:[THREAD_Lhit]])=11,1,0)</f>
        <v>#N/A</v>
      </c>
      <c r="BN2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98.473.03412.731.884NA8M5NANA4</v>
      </c>
      <c r="BO25" s="38" t="e">
        <f>SUM(PCdb[[#This Row],[BDhit]:[THREAD_Lhit]])</f>
        <v>#N/A</v>
      </c>
      <c r="BP25" s="38"/>
    </row>
    <row r="26" spans="1:68" x14ac:dyDescent="0.25">
      <c r="A26" s="7">
        <v>23</v>
      </c>
      <c r="B26" s="12">
        <v>90</v>
      </c>
      <c r="C26" s="12">
        <v>60</v>
      </c>
      <c r="D26" s="12">
        <v>4</v>
      </c>
      <c r="E26" s="12">
        <v>14</v>
      </c>
      <c r="F26" s="12">
        <v>30</v>
      </c>
      <c r="G26" s="12">
        <v>84</v>
      </c>
      <c r="H26" s="12" t="s">
        <v>87</v>
      </c>
      <c r="I26" s="12">
        <v>8</v>
      </c>
      <c r="J26" s="12" t="s">
        <v>45</v>
      </c>
      <c r="K26" s="12" t="s">
        <v>87</v>
      </c>
      <c r="L26" s="12" t="s">
        <v>87</v>
      </c>
      <c r="M26" s="12">
        <v>4</v>
      </c>
      <c r="N26" s="38" t="s">
        <v>45</v>
      </c>
      <c r="O26" s="38" t="s">
        <v>87</v>
      </c>
      <c r="P26" s="38" t="s">
        <v>87</v>
      </c>
      <c r="Q26" s="38" t="s">
        <v>87</v>
      </c>
      <c r="R26" s="38" t="s">
        <v>87</v>
      </c>
      <c r="S26" s="38" t="s">
        <v>87</v>
      </c>
      <c r="T26" s="38" t="s">
        <v>87</v>
      </c>
      <c r="U26" s="38" t="s">
        <v>87</v>
      </c>
      <c r="V26" s="38">
        <v>45.2</v>
      </c>
      <c r="W26" s="38">
        <v>35</v>
      </c>
      <c r="X26" s="38">
        <v>0</v>
      </c>
      <c r="Y26" s="38" t="s">
        <v>130</v>
      </c>
      <c r="Z26" s="38" t="s">
        <v>172</v>
      </c>
      <c r="AA26" s="38">
        <v>45</v>
      </c>
      <c r="AB26" s="38">
        <v>90</v>
      </c>
      <c r="AC26" s="25">
        <v>48.7</v>
      </c>
      <c r="AD26" s="38">
        <v>39</v>
      </c>
      <c r="AE26" s="38" t="s">
        <v>87</v>
      </c>
      <c r="AF26" s="38" t="s">
        <v>130</v>
      </c>
      <c r="AG26" s="38" t="s">
        <v>172</v>
      </c>
      <c r="AH26" s="38">
        <v>45</v>
      </c>
      <c r="AI26" s="38">
        <v>90</v>
      </c>
      <c r="AJ26" s="38" t="s">
        <v>87</v>
      </c>
      <c r="AK26" s="38" t="s">
        <v>87</v>
      </c>
      <c r="AL26" s="38" t="s">
        <v>87</v>
      </c>
      <c r="AM26" s="38" t="s">
        <v>87</v>
      </c>
      <c r="AN26" s="38" t="s">
        <v>87</v>
      </c>
      <c r="AO26" s="38" t="s">
        <v>87</v>
      </c>
      <c r="AP26" s="38" t="s">
        <v>87</v>
      </c>
      <c r="AQ26" s="38" t="s">
        <v>87</v>
      </c>
      <c r="AR26" s="38" t="s">
        <v>87</v>
      </c>
      <c r="AS26" s="38" t="s">
        <v>87</v>
      </c>
      <c r="AT26" s="38" t="s">
        <v>87</v>
      </c>
      <c r="AU26" s="38" t="s">
        <v>87</v>
      </c>
      <c r="AV26" s="38">
        <v>38</v>
      </c>
      <c r="AW26" s="38" t="s">
        <v>87</v>
      </c>
      <c r="AX26" s="38" t="s">
        <v>130</v>
      </c>
      <c r="AY26" s="38" t="s">
        <v>177</v>
      </c>
      <c r="AZ26" s="38">
        <v>45</v>
      </c>
      <c r="BA26" s="38">
        <v>90</v>
      </c>
      <c r="BB26" s="38">
        <f>IF(AND(PCdb[[#This Row],[BCD]]&gt;UIoptions!$S$10,PCdb[[#This Row],[BCD]]&lt;UIoptions!$T$10),1,0)</f>
        <v>0</v>
      </c>
      <c r="BC26" s="38">
        <f>IF(AND(PCdb[[#This Row],[PD]]&gt;UIoptions!$S$11,PCdb[[#This Row],[PD]]&lt;UIoptions!$T$11),1,0)</f>
        <v>1</v>
      </c>
      <c r="BD26" s="38">
        <f>IF(AND(UIoptions!$P$14&lt;=PCdb[[#This Row],[PL (MAX)]],UIoptions!$P$14&gt;UIoptions!$S$14),1,0)</f>
        <v>1</v>
      </c>
      <c r="BE26" s="38">
        <f>IF(AND(PCdb[[#This Row],[SD]]&gt;UIoptions!$S$12,PCdb[[#This Row],[SD]]&lt;UIoptions!$T$12),1,0)</f>
        <v>0</v>
      </c>
      <c r="BF26" s="38">
        <f>IF(AND(PCdb[[#This Row],[SL]]&gt;UIoptions!$S$13,PCdb[[#This Row],[SL]]&lt;UIoptions!$T$13),1,0)</f>
        <v>0</v>
      </c>
      <c r="BG26" s="38">
        <f>IF(UIoptions!$N$35=1,IF(AND(PCdb[[#This Row],[SQ_SZ]]&gt;UIoptions!$S$15,PCdb[[#This Row],[SQ_SZ]]&lt;UIoptions!$T$15),1,0),1)</f>
        <v>0</v>
      </c>
      <c r="BH26" s="38">
        <f>IF(UIoptions!$N$35=2,IF(AND(PCdb[[#This Row],[ROUND_D]]&gt;UIoptions!$S$15,PCdb[[#This Row],[ROUND_D]]&lt;UIoptions!$T$15),1,0),1)</f>
        <v>1</v>
      </c>
      <c r="BI26" s="38">
        <f>IF(UIoptions!$N$75&lt;&gt;1,1,IF(AND(PCdb[[#This Row],[FL]]&gt;UIoptions!$S$16,PCdb[[#This Row],[FL]]&lt;UIoptions!$T$16),1,0))</f>
        <v>0</v>
      </c>
      <c r="BJ26" s="38" t="e">
        <f>IF(OR(UIoptions!$Q$18=PCdb[[#This Row],[THRU_SCREW]],UIoptions!$Q$18="NA"),1,0)</f>
        <v>#N/A</v>
      </c>
      <c r="BK26" s="38">
        <f>IF(OR(UIoptions!$P$19=PCdb[[#This Row],[THREAD_SZ]],UIoptions!$P$19="NA"),1,0)</f>
        <v>1</v>
      </c>
      <c r="BL26" s="38">
        <f>IF(UIoptions!$N$75=1,1,IF(AND(PCdb[[#This Row],[THREAD_L]]&gt;UIoptions!$S$17,PCdb[[#This Row],[THREAD_L]]&lt;UIoptions!$T$17),1,0))</f>
        <v>1</v>
      </c>
      <c r="BM26" s="38" t="e">
        <f>IF(SUM(PCdb[[#This Row],[BDhit]:[THREAD_Lhit]])=11,1,0)</f>
        <v>#N/A</v>
      </c>
      <c r="BN2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90604143084NA8M5NANA4</v>
      </c>
      <c r="BO26" s="38" t="e">
        <f>SUM(PCdb[[#This Row],[BDhit]:[THREAD_Lhit]])</f>
        <v>#N/A</v>
      </c>
      <c r="BP26" s="38"/>
    </row>
    <row r="27" spans="1:68" x14ac:dyDescent="0.25">
      <c r="A27" s="7">
        <v>24</v>
      </c>
      <c r="B27" s="12">
        <v>90</v>
      </c>
      <c r="C27" s="12">
        <v>70</v>
      </c>
      <c r="D27" s="12">
        <v>4</v>
      </c>
      <c r="E27" s="12">
        <v>16</v>
      </c>
      <c r="F27" s="12">
        <v>40</v>
      </c>
      <c r="G27" s="12">
        <v>84</v>
      </c>
      <c r="H27" s="12" t="s">
        <v>87</v>
      </c>
      <c r="I27" s="12">
        <v>8</v>
      </c>
      <c r="J27" s="12" t="s">
        <v>49</v>
      </c>
      <c r="K27" s="12" t="s">
        <v>87</v>
      </c>
      <c r="L27" s="12" t="s">
        <v>87</v>
      </c>
      <c r="M27" s="12">
        <v>4</v>
      </c>
      <c r="N27" s="38" t="s">
        <v>49</v>
      </c>
      <c r="O27" s="38" t="s">
        <v>87</v>
      </c>
      <c r="P27" s="38" t="s">
        <v>87</v>
      </c>
      <c r="Q27" s="38" t="s">
        <v>87</v>
      </c>
      <c r="R27" s="38" t="s">
        <v>87</v>
      </c>
      <c r="S27" s="38" t="s">
        <v>87</v>
      </c>
      <c r="T27" s="38" t="s">
        <v>87</v>
      </c>
      <c r="U27" s="38" t="s">
        <v>87</v>
      </c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 t="s">
        <v>87</v>
      </c>
      <c r="AK27" s="38" t="s">
        <v>87</v>
      </c>
      <c r="AL27" s="38" t="s">
        <v>87</v>
      </c>
      <c r="AM27" s="38" t="s">
        <v>87</v>
      </c>
      <c r="AN27" s="38" t="s">
        <v>87</v>
      </c>
      <c r="AO27" s="38" t="s">
        <v>87</v>
      </c>
      <c r="AP27" s="38" t="s">
        <v>87</v>
      </c>
      <c r="AQ27" s="38" t="s">
        <v>87</v>
      </c>
      <c r="AR27" s="38" t="s">
        <v>87</v>
      </c>
      <c r="AS27" s="38" t="s">
        <v>87</v>
      </c>
      <c r="AT27" s="38" t="s">
        <v>87</v>
      </c>
      <c r="AU27" s="38" t="s">
        <v>87</v>
      </c>
      <c r="AV27" s="38">
        <v>38</v>
      </c>
      <c r="AW27" s="38">
        <v>0</v>
      </c>
      <c r="AX27" s="38" t="s">
        <v>130</v>
      </c>
      <c r="AY27" s="38" t="s">
        <v>177</v>
      </c>
      <c r="AZ27" s="38">
        <v>45</v>
      </c>
      <c r="BA27" s="38">
        <v>90</v>
      </c>
      <c r="BB27" s="38">
        <f>IF(AND(PCdb[[#This Row],[BCD]]&gt;UIoptions!$S$10,PCdb[[#This Row],[BCD]]&lt;UIoptions!$T$10),1,0)</f>
        <v>0</v>
      </c>
      <c r="BC27" s="38">
        <f>IF(AND(PCdb[[#This Row],[PD]]&gt;UIoptions!$S$11,PCdb[[#This Row],[PD]]&lt;UIoptions!$T$11),1,0)</f>
        <v>0</v>
      </c>
      <c r="BD27" s="38">
        <f>IF(AND(UIoptions!$P$14&lt;=PCdb[[#This Row],[PL (MAX)]],UIoptions!$P$14&gt;UIoptions!$S$14),1,0)</f>
        <v>1</v>
      </c>
      <c r="BE27" s="38">
        <f>IF(AND(PCdb[[#This Row],[SD]]&gt;UIoptions!$S$12,PCdb[[#This Row],[SD]]&lt;UIoptions!$T$12),1,0)</f>
        <v>0</v>
      </c>
      <c r="BF27" s="38">
        <f>IF(AND(PCdb[[#This Row],[SL]]&gt;UIoptions!$S$13,PCdb[[#This Row],[SL]]&lt;UIoptions!$T$13),1,0)</f>
        <v>0</v>
      </c>
      <c r="BG27" s="38">
        <f>IF(UIoptions!$N$35=1,IF(AND(PCdb[[#This Row],[SQ_SZ]]&gt;UIoptions!$S$15,PCdb[[#This Row],[SQ_SZ]]&lt;UIoptions!$T$15),1,0),1)</f>
        <v>0</v>
      </c>
      <c r="BH27" s="38">
        <f>IF(UIoptions!$N$35=2,IF(AND(PCdb[[#This Row],[ROUND_D]]&gt;UIoptions!$S$15,PCdb[[#This Row],[ROUND_D]]&lt;UIoptions!$T$15),1,0),1)</f>
        <v>1</v>
      </c>
      <c r="BI27" s="38">
        <f>IF(UIoptions!$N$75&lt;&gt;1,1,IF(AND(PCdb[[#This Row],[FL]]&gt;UIoptions!$S$16,PCdb[[#This Row],[FL]]&lt;UIoptions!$T$16),1,0))</f>
        <v>0</v>
      </c>
      <c r="BJ27" s="38" t="e">
        <f>IF(OR(UIoptions!$Q$18=PCdb[[#This Row],[THRU_SCREW]],UIoptions!$Q$18="NA"),1,0)</f>
        <v>#N/A</v>
      </c>
      <c r="BK27" s="38">
        <f>IF(OR(UIoptions!$P$19=PCdb[[#This Row],[THREAD_SZ]],UIoptions!$P$19="NA"),1,0)</f>
        <v>1</v>
      </c>
      <c r="BL27" s="38">
        <f>IF(UIoptions!$N$75=1,1,IF(AND(PCdb[[#This Row],[THREAD_L]]&gt;UIoptions!$S$17,PCdb[[#This Row],[THREAD_L]]&lt;UIoptions!$T$17),1,0))</f>
        <v>1</v>
      </c>
      <c r="BM27" s="38" t="e">
        <f>IF(SUM(PCdb[[#This Row],[BDhit]:[THREAD_Lhit]])=11,1,0)</f>
        <v>#N/A</v>
      </c>
      <c r="BN2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90704164084NA8M6NANA4</v>
      </c>
      <c r="BO27" s="38" t="e">
        <f>SUM(PCdb[[#This Row],[BDhit]:[THREAD_Lhit]])</f>
        <v>#N/A</v>
      </c>
      <c r="BP27" s="38"/>
    </row>
    <row r="28" spans="1:68" x14ac:dyDescent="0.25">
      <c r="A28" s="7">
        <v>25</v>
      </c>
      <c r="B28" s="12">
        <v>70.7</v>
      </c>
      <c r="C28" s="12">
        <v>36</v>
      </c>
      <c r="D28" s="12">
        <v>4</v>
      </c>
      <c r="E28" s="12">
        <v>11</v>
      </c>
      <c r="F28" s="12">
        <v>28.5</v>
      </c>
      <c r="G28" s="12">
        <v>58</v>
      </c>
      <c r="H28" s="12" t="s">
        <v>87</v>
      </c>
      <c r="I28" s="12">
        <v>6.1</v>
      </c>
      <c r="J28" s="12" t="s">
        <v>7</v>
      </c>
      <c r="K28" s="12" t="s">
        <v>87</v>
      </c>
      <c r="L28" s="12" t="s">
        <v>87</v>
      </c>
      <c r="M28" s="12">
        <v>4</v>
      </c>
      <c r="N28" s="93" t="s">
        <v>7</v>
      </c>
      <c r="O28" s="38">
        <v>36.200000000000003</v>
      </c>
      <c r="P28" s="38">
        <v>23</v>
      </c>
      <c r="Q28" s="38">
        <v>0</v>
      </c>
      <c r="R28" s="38" t="s">
        <v>130</v>
      </c>
      <c r="S28" s="38"/>
      <c r="T28" s="38">
        <v>45</v>
      </c>
      <c r="U28" s="38">
        <v>90</v>
      </c>
      <c r="V28" s="38">
        <v>45.2</v>
      </c>
      <c r="W28" s="38">
        <v>26</v>
      </c>
      <c r="X28" s="38">
        <v>0</v>
      </c>
      <c r="Y28" s="38" t="s">
        <v>130</v>
      </c>
      <c r="Z28" s="38"/>
      <c r="AA28" s="38"/>
      <c r="AB28" s="38"/>
      <c r="AC28" s="38">
        <v>48.7</v>
      </c>
      <c r="AD28" s="38">
        <v>4</v>
      </c>
      <c r="AE28" s="38">
        <v>48</v>
      </c>
      <c r="AF28" s="38" t="s">
        <v>130</v>
      </c>
      <c r="AG28" s="38"/>
      <c r="AH28" s="38"/>
      <c r="AI28" s="38"/>
      <c r="AJ28" s="38" t="s">
        <v>87</v>
      </c>
      <c r="AK28" s="38" t="s">
        <v>87</v>
      </c>
      <c r="AL28" s="38" t="s">
        <v>87</v>
      </c>
      <c r="AM28" s="38"/>
      <c r="AN28" s="38"/>
      <c r="AO28" s="38"/>
      <c r="AP28" s="38">
        <v>20</v>
      </c>
      <c r="AQ28" s="38">
        <v>0</v>
      </c>
      <c r="AR28" s="38" t="s">
        <v>130</v>
      </c>
      <c r="AS28" s="38"/>
      <c r="AT28" s="38"/>
      <c r="AU28" s="38"/>
      <c r="AV28" s="38">
        <v>20</v>
      </c>
      <c r="AW28" s="38">
        <v>0</v>
      </c>
      <c r="AX28" s="38" t="s">
        <v>130</v>
      </c>
      <c r="AY28" s="38"/>
      <c r="AZ28" s="38"/>
      <c r="BA28" s="38"/>
      <c r="BB28" s="38">
        <f>IF(AND(PCdb[[#This Row],[BCD]]&gt;UIoptions!$S$10,PCdb[[#This Row],[BCD]]&lt;UIoptions!$T$10),1,0)</f>
        <v>0</v>
      </c>
      <c r="BC28" s="38">
        <f>IF(AND(PCdb[[#This Row],[PD]]&gt;UIoptions!$S$11,PCdb[[#This Row],[PD]]&lt;UIoptions!$T$11),1,0)</f>
        <v>0</v>
      </c>
      <c r="BD28" s="38">
        <f>IF(AND(UIoptions!$P$14&lt;=PCdb[[#This Row],[PL (MAX)]],UIoptions!$P$14&gt;UIoptions!$S$14),1,0)</f>
        <v>1</v>
      </c>
      <c r="BE28" s="38">
        <f>IF(AND(PCdb[[#This Row],[SD]]&gt;UIoptions!$S$12,PCdb[[#This Row],[SD]]&lt;UIoptions!$T$12),1,0)</f>
        <v>1</v>
      </c>
      <c r="BF28" s="38">
        <f>IF(AND(PCdb[[#This Row],[SL]]&gt;UIoptions!$S$13,PCdb[[#This Row],[SL]]&lt;UIoptions!$T$13),1,0)</f>
        <v>0</v>
      </c>
      <c r="BG28" s="38">
        <f>IF(UIoptions!$N$35=1,IF(AND(PCdb[[#This Row],[SQ_SZ]]&gt;UIoptions!$S$15,PCdb[[#This Row],[SQ_SZ]]&lt;UIoptions!$T$15),1,0),1)</f>
        <v>0</v>
      </c>
      <c r="BH28" s="38">
        <f>IF(UIoptions!$N$35=2,IF(AND(PCdb[[#This Row],[ROUND_D]]&gt;UIoptions!$S$15,PCdb[[#This Row],[ROUND_D]]&lt;UIoptions!$T$15),1,0),1)</f>
        <v>1</v>
      </c>
      <c r="BI28" s="38">
        <f>IF(UIoptions!$N$75&lt;&gt;1,1,IF(AND(PCdb[[#This Row],[FL]]&gt;UIoptions!$S$16,PCdb[[#This Row],[FL]]&lt;UIoptions!$T$16),1,0))</f>
        <v>0</v>
      </c>
      <c r="BJ28" s="38" t="e">
        <f>IF(OR(UIoptions!$Q$18=PCdb[[#This Row],[THRU_SCREW]],UIoptions!$Q$18="NA"),1,0)</f>
        <v>#N/A</v>
      </c>
      <c r="BK28" s="38">
        <f>IF(OR(UIoptions!$P$19=PCdb[[#This Row],[THREAD_SZ]],UIoptions!$P$19="NA"),1,0)</f>
        <v>1</v>
      </c>
      <c r="BL28" s="38">
        <f>IF(UIoptions!$N$75=1,1,IF(AND(PCdb[[#This Row],[THREAD_L]]&gt;UIoptions!$S$17,PCdb[[#This Row],[THREAD_L]]&lt;UIoptions!$T$17),1,0))</f>
        <v>1</v>
      </c>
      <c r="BM28" s="38" t="e">
        <f>IF(SUM(PCdb[[#This Row],[BDhit]:[THREAD_Lhit]])=11,1,0)</f>
        <v>#N/A</v>
      </c>
      <c r="BN2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70.73641128.558NA6.1M4NANA4</v>
      </c>
      <c r="BO28" s="38" t="e">
        <f>SUM(PCdb[[#This Row],[BDhit]:[THREAD_Lhit]])</f>
        <v>#N/A</v>
      </c>
      <c r="BP28" s="38"/>
    </row>
    <row r="29" spans="1:68" x14ac:dyDescent="0.25">
      <c r="A29" s="7">
        <v>26</v>
      </c>
      <c r="B29" s="12">
        <v>75</v>
      </c>
      <c r="C29" s="12">
        <v>60</v>
      </c>
      <c r="D29" s="12">
        <v>4</v>
      </c>
      <c r="E29" s="12">
        <v>14</v>
      </c>
      <c r="F29" s="12">
        <v>30</v>
      </c>
      <c r="G29" s="12">
        <v>72</v>
      </c>
      <c r="H29" s="12" t="s">
        <v>87</v>
      </c>
      <c r="I29" s="12">
        <v>7</v>
      </c>
      <c r="J29" s="12" t="s">
        <v>45</v>
      </c>
      <c r="K29" s="12" t="s">
        <v>87</v>
      </c>
      <c r="L29" s="12" t="s">
        <v>87</v>
      </c>
      <c r="M29" s="12">
        <v>4</v>
      </c>
      <c r="N29" s="38" t="s">
        <v>45</v>
      </c>
      <c r="O29" s="38" t="s">
        <v>87</v>
      </c>
      <c r="P29" s="38" t="s">
        <v>87</v>
      </c>
      <c r="Q29" s="38" t="s">
        <v>87</v>
      </c>
      <c r="R29" s="38" t="s">
        <v>87</v>
      </c>
      <c r="S29" s="38" t="s">
        <v>87</v>
      </c>
      <c r="T29" s="38" t="s">
        <v>87</v>
      </c>
      <c r="U29" s="38" t="s">
        <v>87</v>
      </c>
      <c r="V29" s="38">
        <v>45.2</v>
      </c>
      <c r="W29" s="38">
        <v>32</v>
      </c>
      <c r="X29" s="38">
        <v>0</v>
      </c>
      <c r="Y29" s="38" t="s">
        <v>130</v>
      </c>
      <c r="Z29" s="38" t="s">
        <v>172</v>
      </c>
      <c r="AA29" s="38">
        <v>45</v>
      </c>
      <c r="AB29" s="38">
        <v>90</v>
      </c>
      <c r="AC29" s="38">
        <v>48.7</v>
      </c>
      <c r="AD29" s="38">
        <v>32</v>
      </c>
      <c r="AE29" s="38">
        <v>0</v>
      </c>
      <c r="AF29" s="38" t="s">
        <v>130</v>
      </c>
      <c r="AG29" s="38" t="s">
        <v>172</v>
      </c>
      <c r="AH29" s="38">
        <v>45</v>
      </c>
      <c r="AI29" s="38">
        <v>90</v>
      </c>
      <c r="AJ29" s="38" t="s">
        <v>87</v>
      </c>
      <c r="AK29" s="38" t="s">
        <v>87</v>
      </c>
      <c r="AL29" s="38" t="s">
        <v>87</v>
      </c>
      <c r="AM29" s="38" t="s">
        <v>87</v>
      </c>
      <c r="AN29" s="38"/>
      <c r="AO29" s="38"/>
      <c r="AP29" s="38">
        <v>32.5</v>
      </c>
      <c r="AQ29" s="38">
        <v>0</v>
      </c>
      <c r="AR29" s="38" t="s">
        <v>130</v>
      </c>
      <c r="AS29" s="38" t="s">
        <v>177</v>
      </c>
      <c r="AT29" s="38">
        <v>45</v>
      </c>
      <c r="AU29" s="38">
        <v>90</v>
      </c>
      <c r="AV29" s="38">
        <v>32.5</v>
      </c>
      <c r="AW29" s="38">
        <v>0</v>
      </c>
      <c r="AX29" s="38" t="s">
        <v>130</v>
      </c>
      <c r="AY29" s="38" t="s">
        <v>176</v>
      </c>
      <c r="AZ29" s="38">
        <v>45</v>
      </c>
      <c r="BA29" s="38">
        <v>90</v>
      </c>
      <c r="BB29" s="38">
        <f>IF(AND(PCdb[[#This Row],[BCD]]&gt;UIoptions!$S$10,PCdb[[#This Row],[BCD]]&lt;UIoptions!$T$10),1,0)</f>
        <v>1</v>
      </c>
      <c r="BC29" s="38">
        <f>IF(AND(PCdb[[#This Row],[PD]]&gt;UIoptions!$S$11,PCdb[[#This Row],[PD]]&lt;UIoptions!$T$11),1,0)</f>
        <v>1</v>
      </c>
      <c r="BD29" s="38">
        <f>IF(AND(UIoptions!$P$14&lt;=PCdb[[#This Row],[PL (MAX)]],UIoptions!$P$14&gt;UIoptions!$S$14),1,0)</f>
        <v>1</v>
      </c>
      <c r="BE29" s="38">
        <f>IF(AND(PCdb[[#This Row],[SD]]&gt;UIoptions!$S$12,PCdb[[#This Row],[SD]]&lt;UIoptions!$T$12),1,0)</f>
        <v>0</v>
      </c>
      <c r="BF29" s="38">
        <f>IF(AND(PCdb[[#This Row],[SL]]&gt;UIoptions!$S$13,PCdb[[#This Row],[SL]]&lt;UIoptions!$T$13),1,0)</f>
        <v>0</v>
      </c>
      <c r="BG29" s="38">
        <f>IF(UIoptions!$N$35=1,IF(AND(PCdb[[#This Row],[SQ_SZ]]&gt;UIoptions!$S$15,PCdb[[#This Row],[SQ_SZ]]&lt;UIoptions!$T$15),1,0),1)</f>
        <v>0</v>
      </c>
      <c r="BH29" s="38">
        <f>IF(UIoptions!$N$35=2,IF(AND(PCdb[[#This Row],[ROUND_D]]&gt;UIoptions!$S$15,PCdb[[#This Row],[ROUND_D]]&lt;UIoptions!$T$15),1,0),1)</f>
        <v>1</v>
      </c>
      <c r="BI29" s="38">
        <f>IF(UIoptions!$N$75&lt;&gt;1,1,IF(AND(PCdb[[#This Row],[FL]]&gt;UIoptions!$S$16,PCdb[[#This Row],[FL]]&lt;UIoptions!$T$16),1,0))</f>
        <v>0</v>
      </c>
      <c r="BJ29" s="38" t="e">
        <f>IF(OR(UIoptions!$Q$18=PCdb[[#This Row],[THRU_SCREW]],UIoptions!$Q$18="NA"),1,0)</f>
        <v>#N/A</v>
      </c>
      <c r="BK29" s="38">
        <f>IF(OR(UIoptions!$P$19=PCdb[[#This Row],[THREAD_SZ]],UIoptions!$P$19="NA"),1,0)</f>
        <v>1</v>
      </c>
      <c r="BL29" s="38">
        <f>IF(UIoptions!$N$75=1,1,IF(AND(PCdb[[#This Row],[THREAD_L]]&gt;UIoptions!$S$17,PCdb[[#This Row],[THREAD_L]]&lt;UIoptions!$T$17),1,0))</f>
        <v>1</v>
      </c>
      <c r="BM29" s="38" t="e">
        <f>IF(SUM(PCdb[[#This Row],[BDhit]:[THREAD_Lhit]])=11,1,0)</f>
        <v>#N/A</v>
      </c>
      <c r="BN2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75604143072NA7M5NANA4</v>
      </c>
      <c r="BO29" s="38" t="e">
        <f>SUM(PCdb[[#This Row],[BDhit]:[THREAD_Lhit]])</f>
        <v>#N/A</v>
      </c>
      <c r="BP29" s="38"/>
    </row>
    <row r="30" spans="1:68" x14ac:dyDescent="0.25">
      <c r="A30" s="7">
        <v>27</v>
      </c>
      <c r="B30" s="12">
        <v>36</v>
      </c>
      <c r="C30" s="12">
        <v>25</v>
      </c>
      <c r="D30" s="12">
        <v>4</v>
      </c>
      <c r="E30" s="12">
        <v>8</v>
      </c>
      <c r="F30" s="12">
        <v>25</v>
      </c>
      <c r="G30" s="12" t="s">
        <v>87</v>
      </c>
      <c r="H30" s="12">
        <v>42</v>
      </c>
      <c r="I30" s="12" t="s">
        <v>87</v>
      </c>
      <c r="J30" s="12" t="s">
        <v>87</v>
      </c>
      <c r="K30" s="12" t="s">
        <v>7</v>
      </c>
      <c r="L30" s="12">
        <v>8</v>
      </c>
      <c r="M30" s="12">
        <v>4</v>
      </c>
      <c r="N30" s="38">
        <v>4.5</v>
      </c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 t="s">
        <v>87</v>
      </c>
      <c r="AK30" s="38" t="s">
        <v>87</v>
      </c>
      <c r="AL30" s="38" t="s">
        <v>130</v>
      </c>
      <c r="AM30" s="38" t="s">
        <v>281</v>
      </c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>
        <f>IF(AND(PCdb[[#This Row],[BCD]]&gt;UIoptions!$S$10,PCdb[[#This Row],[BCD]]&lt;UIoptions!$T$10),1,0)</f>
        <v>0</v>
      </c>
      <c r="BC30" s="38">
        <f>IF(AND(PCdb[[#This Row],[PD]]&gt;UIoptions!$S$11,PCdb[[#This Row],[PD]]&lt;UIoptions!$T$11),1,0)</f>
        <v>0</v>
      </c>
      <c r="BD30" s="38">
        <f>IF(AND(UIoptions!$P$14&lt;=PCdb[[#This Row],[PL (MAX)]],UIoptions!$P$14&gt;UIoptions!$S$14),1,0)</f>
        <v>1</v>
      </c>
      <c r="BE30" s="38">
        <f>IF(AND(PCdb[[#This Row],[SD]]&gt;UIoptions!$S$12,PCdb[[#This Row],[SD]]&lt;UIoptions!$T$12),1,0)</f>
        <v>0</v>
      </c>
      <c r="BF30" s="38">
        <f>IF(AND(PCdb[[#This Row],[SL]]&gt;UIoptions!$S$13,PCdb[[#This Row],[SL]]&lt;UIoptions!$T$13),1,0)</f>
        <v>0</v>
      </c>
      <c r="BG30" s="38">
        <f>IF(UIoptions!$N$35=1,IF(AND(PCdb[[#This Row],[SQ_SZ]]&gt;UIoptions!$S$15,PCdb[[#This Row],[SQ_SZ]]&lt;UIoptions!$T$15),1,0),1)</f>
        <v>0</v>
      </c>
      <c r="BH30" s="38">
        <f>IF(UIoptions!$N$35=2,IF(AND(PCdb[[#This Row],[ROUND_D]]&gt;UIoptions!$S$15,PCdb[[#This Row],[ROUND_D]]&lt;UIoptions!$T$15),1,0),1)</f>
        <v>1</v>
      </c>
      <c r="BI30" s="38">
        <f>IF(UIoptions!$N$75&lt;&gt;1,1,IF(AND(PCdb[[#This Row],[FL]]&gt;UIoptions!$S$16,PCdb[[#This Row],[FL]]&lt;UIoptions!$T$16),1,0))</f>
        <v>0</v>
      </c>
      <c r="BJ30" s="38" t="e">
        <f>IF(OR(UIoptions!$Q$18=PCdb[[#This Row],[THRU_SCREW]],UIoptions!$Q$18="NA"),1,0)</f>
        <v>#N/A</v>
      </c>
      <c r="BK30" s="38">
        <f>IF(OR(UIoptions!$P$19=PCdb[[#This Row],[THREAD_SZ]],UIoptions!$P$19="NA"),1,0)</f>
        <v>1</v>
      </c>
      <c r="BL30" s="38">
        <f>IF(UIoptions!$N$75=1,1,IF(AND(PCdb[[#This Row],[THREAD_L]]&gt;UIoptions!$S$17,PCdb[[#This Row],[THREAD_L]]&lt;UIoptions!$T$17),1,0))</f>
        <v>1</v>
      </c>
      <c r="BM30" s="38" t="e">
        <f>IF(SUM(PCdb[[#This Row],[BDhit]:[THREAD_Lhit]])=11,1,0)</f>
        <v>#N/A</v>
      </c>
      <c r="BN3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36254825NA42NANAM484</v>
      </c>
      <c r="BO30" s="38" t="e">
        <f>SUM(PCdb[[#This Row],[BDhit]:[THREAD_Lhit]])</f>
        <v>#N/A</v>
      </c>
    </row>
    <row r="31" spans="1:68" x14ac:dyDescent="0.25">
      <c r="A31" s="7">
        <v>28</v>
      </c>
      <c r="B31" s="12">
        <v>66.7</v>
      </c>
      <c r="C31" s="12">
        <v>38.1</v>
      </c>
      <c r="D31" s="12">
        <v>4</v>
      </c>
      <c r="E31" s="12">
        <v>6.35</v>
      </c>
      <c r="F31" s="12">
        <v>20</v>
      </c>
      <c r="G31" s="12">
        <v>56.4</v>
      </c>
      <c r="H31" s="12" t="s">
        <v>87</v>
      </c>
      <c r="I31" s="12">
        <v>5</v>
      </c>
      <c r="J31" s="12" t="s">
        <v>7</v>
      </c>
      <c r="K31" s="12" t="s">
        <v>87</v>
      </c>
      <c r="L31" s="12" t="s">
        <v>87</v>
      </c>
      <c r="M31" s="12">
        <v>4</v>
      </c>
      <c r="N31" s="38" t="s">
        <v>7</v>
      </c>
      <c r="O31" s="38">
        <v>38.700000000000003</v>
      </c>
      <c r="P31" s="38">
        <v>25</v>
      </c>
      <c r="Q31" s="38">
        <v>0</v>
      </c>
      <c r="R31" s="38" t="s">
        <v>130</v>
      </c>
      <c r="S31" s="38" t="s">
        <v>172</v>
      </c>
      <c r="T31" s="38">
        <v>45</v>
      </c>
      <c r="U31" s="38">
        <v>90</v>
      </c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>
        <v>25</v>
      </c>
      <c r="AK31" s="38">
        <v>0</v>
      </c>
      <c r="AL31" s="38" t="s">
        <v>263</v>
      </c>
      <c r="AM31" s="38" t="s">
        <v>177</v>
      </c>
      <c r="AN31" s="38">
        <v>45</v>
      </c>
      <c r="AO31" s="38">
        <v>90</v>
      </c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>
        <f>IF(AND(PCdb[[#This Row],[BCD]]&gt;UIoptions!$S$10,PCdb[[#This Row],[BCD]]&lt;UIoptions!$T$10),1,0)</f>
        <v>0</v>
      </c>
      <c r="BC31" s="38">
        <f>IF(AND(PCdb[[#This Row],[PD]]&gt;UIoptions!$S$11,PCdb[[#This Row],[PD]]&lt;UIoptions!$T$11),1,0)</f>
        <v>0</v>
      </c>
      <c r="BD31" s="38">
        <f>IF(AND(UIoptions!$P$14&lt;=PCdb[[#This Row],[PL (MAX)]],UIoptions!$P$14&gt;UIoptions!$S$14),1,0)</f>
        <v>1</v>
      </c>
      <c r="BE31" s="38">
        <f>IF(AND(PCdb[[#This Row],[SD]]&gt;UIoptions!$S$12,PCdb[[#This Row],[SD]]&lt;UIoptions!$T$12),1,0)</f>
        <v>0</v>
      </c>
      <c r="BF31" s="38">
        <f>IF(AND(PCdb[[#This Row],[SL]]&gt;UIoptions!$S$13,PCdb[[#This Row],[SL]]&lt;UIoptions!$T$13),1,0)</f>
        <v>0</v>
      </c>
      <c r="BG31" s="38">
        <f>IF(UIoptions!$N$35=1,IF(AND(PCdb[[#This Row],[SQ_SZ]]&gt;UIoptions!$S$15,PCdb[[#This Row],[SQ_SZ]]&lt;UIoptions!$T$15),1,0),1)</f>
        <v>0</v>
      </c>
      <c r="BH31" s="38">
        <f>IF(UIoptions!$N$35=2,IF(AND(PCdb[[#This Row],[ROUND_D]]&gt;UIoptions!$S$15,PCdb[[#This Row],[ROUND_D]]&lt;UIoptions!$T$15),1,0),1)</f>
        <v>1</v>
      </c>
      <c r="BI31" s="38">
        <f>IF(UIoptions!$N$75&lt;&gt;1,1,IF(AND(PCdb[[#This Row],[FL]]&gt;UIoptions!$S$16,PCdb[[#This Row],[FL]]&lt;UIoptions!$T$16),1,0))</f>
        <v>0</v>
      </c>
      <c r="BJ31" s="38" t="e">
        <f>IF(OR(UIoptions!$Q$18=PCdb[[#This Row],[THRU_SCREW]],UIoptions!$Q$18="NA"),1,0)</f>
        <v>#N/A</v>
      </c>
      <c r="BK31" s="38">
        <f>IF(OR(UIoptions!$P$19=PCdb[[#This Row],[THREAD_SZ]],UIoptions!$P$19="NA"),1,0)</f>
        <v>1</v>
      </c>
      <c r="BL31" s="38">
        <f>IF(UIoptions!$N$75=1,1,IF(AND(PCdb[[#This Row],[THREAD_L]]&gt;UIoptions!$S$17,PCdb[[#This Row],[THREAD_L]]&lt;UIoptions!$T$17),1,0))</f>
        <v>1</v>
      </c>
      <c r="BM31" s="38" t="e">
        <f>IF(SUM(PCdb[[#This Row],[BDhit]:[THREAD_Lhit]])=11,1,0)</f>
        <v>#N/A</v>
      </c>
      <c r="BN3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66.738.146.352056.4NA5M4NANA4</v>
      </c>
      <c r="BO31" s="38" t="e">
        <f>SUM(PCdb[[#This Row],[BDhit]:[THREAD_Lhit]])</f>
        <v>#N/A</v>
      </c>
    </row>
    <row r="32" spans="1:68" x14ac:dyDescent="0.25">
      <c r="A32" s="7">
        <v>29</v>
      </c>
      <c r="B32" s="12">
        <v>98.4</v>
      </c>
      <c r="C32" s="12">
        <v>73</v>
      </c>
      <c r="D32" s="12">
        <v>4</v>
      </c>
      <c r="E32" s="12">
        <v>12.7</v>
      </c>
      <c r="F32" s="12">
        <v>37</v>
      </c>
      <c r="G32" s="12">
        <v>85.8</v>
      </c>
      <c r="H32" s="12" t="s">
        <v>87</v>
      </c>
      <c r="I32" s="12">
        <v>10</v>
      </c>
      <c r="J32" s="12" t="s">
        <v>49</v>
      </c>
      <c r="K32" s="12" t="s">
        <v>87</v>
      </c>
      <c r="L32" s="12" t="s">
        <v>87</v>
      </c>
      <c r="M32" s="12">
        <v>4</v>
      </c>
      <c r="N32" s="93" t="s">
        <v>49</v>
      </c>
      <c r="O32" s="38"/>
      <c r="P32" s="38"/>
      <c r="Q32" s="38"/>
      <c r="R32" s="38"/>
      <c r="S32" s="38"/>
      <c r="T32" s="38"/>
      <c r="U32" s="38"/>
      <c r="V32" s="38">
        <v>45.2</v>
      </c>
      <c r="W32" s="38">
        <v>38</v>
      </c>
      <c r="X32" s="38">
        <v>0</v>
      </c>
      <c r="Y32" s="38" t="s">
        <v>130</v>
      </c>
      <c r="Z32" s="38" t="s">
        <v>172</v>
      </c>
      <c r="AA32" s="38">
        <v>45</v>
      </c>
      <c r="AB32" s="38">
        <v>90</v>
      </c>
      <c r="AC32" s="25">
        <v>48.7</v>
      </c>
      <c r="AD32" s="38">
        <v>39</v>
      </c>
      <c r="AE32" s="38" t="s">
        <v>87</v>
      </c>
      <c r="AF32" s="38" t="s">
        <v>130</v>
      </c>
      <c r="AG32" s="38" t="s">
        <v>172</v>
      </c>
      <c r="AH32" s="38">
        <v>45</v>
      </c>
      <c r="AI32" s="38">
        <v>90</v>
      </c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>
        <f>IF(AND(PCdb[[#This Row],[BCD]]&gt;UIoptions!$S$10,PCdb[[#This Row],[BCD]]&lt;UIoptions!$T$10),1,0)</f>
        <v>0</v>
      </c>
      <c r="BC32" s="38">
        <f>IF(AND(PCdb[[#This Row],[PD]]&gt;UIoptions!$S$11,PCdb[[#This Row],[PD]]&lt;UIoptions!$T$11),1,0)</f>
        <v>0</v>
      </c>
      <c r="BD32" s="38">
        <f>IF(AND(UIoptions!$P$14&lt;=PCdb[[#This Row],[PL (MAX)]],UIoptions!$P$14&gt;UIoptions!$S$14),1,0)</f>
        <v>1</v>
      </c>
      <c r="BE32" s="38">
        <f>IF(AND(PCdb[[#This Row],[SD]]&gt;UIoptions!$S$12,PCdb[[#This Row],[SD]]&lt;UIoptions!$T$12),1,0)</f>
        <v>0</v>
      </c>
      <c r="BF32" s="38">
        <f>IF(AND(PCdb[[#This Row],[SL]]&gt;UIoptions!$S$13,PCdb[[#This Row],[SL]]&lt;UIoptions!$T$13),1,0)</f>
        <v>0</v>
      </c>
      <c r="BG32" s="38">
        <f>IF(UIoptions!$N$35=1,IF(AND(PCdb[[#This Row],[SQ_SZ]]&gt;UIoptions!$S$15,PCdb[[#This Row],[SQ_SZ]]&lt;UIoptions!$T$15),1,0),1)</f>
        <v>0</v>
      </c>
      <c r="BH32" s="38">
        <f>IF(UIoptions!$N$35=2,IF(AND(PCdb[[#This Row],[ROUND_D]]&gt;UIoptions!$S$15,PCdb[[#This Row],[ROUND_D]]&lt;UIoptions!$T$15),1,0),1)</f>
        <v>1</v>
      </c>
      <c r="BI32" s="38">
        <f>IF(UIoptions!$N$75&lt;&gt;1,1,IF(AND(PCdb[[#This Row],[FL]]&gt;UIoptions!$S$16,PCdb[[#This Row],[FL]]&lt;UIoptions!$T$16),1,0))</f>
        <v>0</v>
      </c>
      <c r="BJ32" s="38" t="e">
        <f>IF(OR(UIoptions!$Q$18=PCdb[[#This Row],[THRU_SCREW]],UIoptions!$Q$18="NA"),1,0)</f>
        <v>#N/A</v>
      </c>
      <c r="BK32" s="38">
        <f>IF(OR(UIoptions!$P$19=PCdb[[#This Row],[THREAD_SZ]],UIoptions!$P$19="NA"),1,0)</f>
        <v>1</v>
      </c>
      <c r="BL32" s="38">
        <f>IF(UIoptions!$N$75=1,1,IF(AND(PCdb[[#This Row],[THREAD_L]]&gt;UIoptions!$S$17,PCdb[[#This Row],[THREAD_L]]&lt;UIoptions!$T$17),1,0))</f>
        <v>1</v>
      </c>
      <c r="BM32" s="38" t="e">
        <f>IF(SUM(PCdb[[#This Row],[BDhit]:[THREAD_Lhit]])=11,1,0)</f>
        <v>#N/A</v>
      </c>
      <c r="BN3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98.473412.73785.8NA10M6NANA4</v>
      </c>
      <c r="BO32" s="38" t="e">
        <f>SUM(PCdb[[#This Row],[BDhit]:[THREAD_Lhit]])</f>
        <v>#N/A</v>
      </c>
    </row>
    <row r="33" spans="1:67" x14ac:dyDescent="0.25">
      <c r="A33" s="7">
        <v>30</v>
      </c>
      <c r="B33" s="84">
        <v>66.7</v>
      </c>
      <c r="C33" s="84">
        <v>38.1</v>
      </c>
      <c r="D33" s="84">
        <v>4</v>
      </c>
      <c r="E33" s="84">
        <v>9.5</v>
      </c>
      <c r="F33" s="84">
        <v>30.7</v>
      </c>
      <c r="G33" s="84">
        <v>57.7</v>
      </c>
      <c r="H33" s="84" t="s">
        <v>87</v>
      </c>
      <c r="I33" s="84">
        <v>7.5</v>
      </c>
      <c r="J33" s="84" t="s">
        <v>7</v>
      </c>
      <c r="K33" s="84" t="s">
        <v>87</v>
      </c>
      <c r="L33" s="84" t="s">
        <v>87</v>
      </c>
      <c r="M33" s="84">
        <v>4</v>
      </c>
      <c r="N33" s="38" t="s">
        <v>7</v>
      </c>
      <c r="O33" s="25">
        <v>38.700000000000003</v>
      </c>
      <c r="P33" s="38">
        <v>22</v>
      </c>
      <c r="Q33" s="38" t="s">
        <v>87</v>
      </c>
      <c r="R33" s="38" t="s">
        <v>130</v>
      </c>
      <c r="S33" s="38" t="s">
        <v>172</v>
      </c>
      <c r="T33" s="38">
        <v>45</v>
      </c>
      <c r="U33" s="38">
        <v>90</v>
      </c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>
        <v>22</v>
      </c>
      <c r="AK33" s="38">
        <v>0</v>
      </c>
      <c r="AL33" s="38" t="s">
        <v>130</v>
      </c>
      <c r="AM33" s="38" t="s">
        <v>177</v>
      </c>
      <c r="AN33" s="38">
        <v>45</v>
      </c>
      <c r="AO33" s="38">
        <v>90</v>
      </c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>
        <f>IF(AND(PCdb[[#This Row],[BCD]]&gt;UIoptions!$S$10,PCdb[[#This Row],[BCD]]&lt;UIoptions!$T$10),1,0)</f>
        <v>0</v>
      </c>
      <c r="BC33" s="38">
        <f>IF(AND(PCdb[[#This Row],[PD]]&gt;UIoptions!$S$11,PCdb[[#This Row],[PD]]&lt;UIoptions!$T$11),1,0)</f>
        <v>0</v>
      </c>
      <c r="BD33" s="38">
        <f>IF(AND(UIoptions!$P$14&lt;=PCdb[[#This Row],[PL (MAX)]],UIoptions!$P$14&gt;UIoptions!$S$14),1,0)</f>
        <v>1</v>
      </c>
      <c r="BE33" s="38">
        <f>IF(AND(PCdb[[#This Row],[SD]]&gt;UIoptions!$S$12,PCdb[[#This Row],[SD]]&lt;UIoptions!$T$12),1,0)</f>
        <v>0</v>
      </c>
      <c r="BF33" s="38">
        <f>IF(AND(PCdb[[#This Row],[SL]]&gt;UIoptions!$S$13,PCdb[[#This Row],[SL]]&lt;UIoptions!$T$13),1,0)</f>
        <v>0</v>
      </c>
      <c r="BG33" s="38">
        <f>IF(UIoptions!$N$35=1,IF(AND(PCdb[[#This Row],[SQ_SZ]]&gt;UIoptions!$S$15,PCdb[[#This Row],[SQ_SZ]]&lt;UIoptions!$T$15),1,0),1)</f>
        <v>0</v>
      </c>
      <c r="BH33" s="38">
        <f>IF(UIoptions!$N$35=2,IF(AND(PCdb[[#This Row],[ROUND_D]]&gt;UIoptions!$S$15,PCdb[[#This Row],[ROUND_D]]&lt;UIoptions!$T$15),1,0),1)</f>
        <v>1</v>
      </c>
      <c r="BI33" s="38">
        <f>IF(UIoptions!$N$75&lt;&gt;1,1,IF(AND(PCdb[[#This Row],[FL]]&gt;UIoptions!$S$16,PCdb[[#This Row],[FL]]&lt;UIoptions!$T$16),1,0))</f>
        <v>0</v>
      </c>
      <c r="BJ33" s="38" t="e">
        <f>IF(OR(UIoptions!$Q$18=PCdb[[#This Row],[THRU_SCREW]],UIoptions!$Q$18="NA"),1,0)</f>
        <v>#N/A</v>
      </c>
      <c r="BK33" s="38">
        <f>IF(OR(UIoptions!$P$19=PCdb[[#This Row],[THREAD_SZ]],UIoptions!$P$19="NA"),1,0)</f>
        <v>1</v>
      </c>
      <c r="BL33" s="38">
        <f>IF(UIoptions!$N$75=1,1,IF(AND(PCdb[[#This Row],[THREAD_L]]&gt;UIoptions!$S$17,PCdb[[#This Row],[THREAD_L]]&lt;UIoptions!$T$17),1,0))</f>
        <v>1</v>
      </c>
      <c r="BM33" s="38" t="e">
        <f>IF(SUM(PCdb[[#This Row],[BDhit]:[THREAD_Lhit]])=11,1,0)</f>
        <v>#N/A</v>
      </c>
      <c r="BN3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66.738.149.530.757.7NA7.5M4NANA4</v>
      </c>
      <c r="BO33" s="38" t="e">
        <f>SUM(PCdb[[#This Row],[BDhit]:[THREAD_Lhit]])</f>
        <v>#N/A</v>
      </c>
    </row>
    <row r="34" spans="1:67" x14ac:dyDescent="0.25">
      <c r="A34" s="7">
        <v>31</v>
      </c>
      <c r="B34" s="88">
        <v>75</v>
      </c>
      <c r="C34" s="88">
        <v>60</v>
      </c>
      <c r="D34" s="88">
        <v>4</v>
      </c>
      <c r="E34" s="88">
        <v>11</v>
      </c>
      <c r="F34" s="88">
        <v>23.5</v>
      </c>
      <c r="G34" s="88">
        <v>65.2</v>
      </c>
      <c r="H34" s="88" t="s">
        <v>87</v>
      </c>
      <c r="I34" s="88">
        <v>7.5</v>
      </c>
      <c r="J34" s="88" t="s">
        <v>45</v>
      </c>
      <c r="K34" s="88" t="s">
        <v>87</v>
      </c>
      <c r="L34" s="88" t="s">
        <v>87</v>
      </c>
      <c r="M34" s="88">
        <v>4</v>
      </c>
      <c r="N34" s="38" t="s">
        <v>45</v>
      </c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>
        <f>IF(AND(PCdb[[#This Row],[BCD]]&gt;UIoptions!$S$10,PCdb[[#This Row],[BCD]]&lt;UIoptions!$T$10),1,0)</f>
        <v>1</v>
      </c>
      <c r="BC34" s="38">
        <f>IF(AND(PCdb[[#This Row],[PD]]&gt;UIoptions!$S$11,PCdb[[#This Row],[PD]]&lt;UIoptions!$T$11),1,0)</f>
        <v>1</v>
      </c>
      <c r="BD34" s="38">
        <f>IF(AND(UIoptions!$P$14&lt;=PCdb[[#This Row],[PL (MAX)]],UIoptions!$P$14&gt;UIoptions!$S$14),1,0)</f>
        <v>1</v>
      </c>
      <c r="BE34" s="38">
        <f>IF(AND(PCdb[[#This Row],[SD]]&gt;UIoptions!$S$12,PCdb[[#This Row],[SD]]&lt;UIoptions!$T$12),1,0)</f>
        <v>1</v>
      </c>
      <c r="BF34" s="38">
        <f>IF(AND(PCdb[[#This Row],[SL]]&gt;UIoptions!$S$13,PCdb[[#This Row],[SL]]&lt;UIoptions!$T$13),1,0)</f>
        <v>0</v>
      </c>
      <c r="BG34" s="38">
        <f>IF(UIoptions!$N$35=1,IF(AND(PCdb[[#This Row],[SQ_SZ]]&gt;UIoptions!$S$15,PCdb[[#This Row],[SQ_SZ]]&lt;UIoptions!$T$15),1,0),1)</f>
        <v>0</v>
      </c>
      <c r="BH34" s="38">
        <f>IF(UIoptions!$N$35=2,IF(AND(PCdb[[#This Row],[ROUND_D]]&gt;UIoptions!$S$15,PCdb[[#This Row],[ROUND_D]]&lt;UIoptions!$T$15),1,0),1)</f>
        <v>1</v>
      </c>
      <c r="BI34" s="38">
        <f>IF(UIoptions!$N$75&lt;&gt;1,1,IF(AND(PCdb[[#This Row],[FL]]&gt;UIoptions!$S$16,PCdb[[#This Row],[FL]]&lt;UIoptions!$T$16),1,0))</f>
        <v>0</v>
      </c>
      <c r="BJ34" s="38" t="e">
        <f>IF(OR(UIoptions!$Q$18=PCdb[[#This Row],[THRU_SCREW]],UIoptions!$Q$18="NA"),1,0)</f>
        <v>#N/A</v>
      </c>
      <c r="BK34" s="38">
        <f>IF(OR(UIoptions!$P$19=PCdb[[#This Row],[THREAD_SZ]],UIoptions!$P$19="NA"),1,0)</f>
        <v>1</v>
      </c>
      <c r="BL34" s="38">
        <f>IF(UIoptions!$N$75=1,1,IF(AND(PCdb[[#This Row],[THREAD_L]]&gt;UIoptions!$S$17,PCdb[[#This Row],[THREAD_L]]&lt;UIoptions!$T$17),1,0))</f>
        <v>1</v>
      </c>
      <c r="BM34" s="38" t="e">
        <f>IF(SUM(PCdb[[#This Row],[BDhit]:[THREAD_Lhit]])=11,1,0)</f>
        <v>#N/A</v>
      </c>
      <c r="BN3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756041123.565.2NA7.5M5NANA4</v>
      </c>
      <c r="BO34" s="38" t="e">
        <f>SUM(PCdb[[#This Row],[BDhit]:[THREAD_Lhit]])</f>
        <v>#N/A</v>
      </c>
    </row>
    <row r="35" spans="1:67" x14ac:dyDescent="0.25">
      <c r="A35" s="7">
        <v>32</v>
      </c>
      <c r="B35" s="93">
        <v>100</v>
      </c>
      <c r="C35" s="88">
        <v>80</v>
      </c>
      <c r="D35" s="88">
        <v>4</v>
      </c>
      <c r="E35" s="88">
        <v>14</v>
      </c>
      <c r="F35" s="88">
        <v>30</v>
      </c>
      <c r="G35" s="88">
        <v>92</v>
      </c>
      <c r="H35" s="88" t="s">
        <v>87</v>
      </c>
      <c r="I35" s="88">
        <v>7.5</v>
      </c>
      <c r="J35" s="88" t="s">
        <v>49</v>
      </c>
      <c r="K35" s="88" t="s">
        <v>87</v>
      </c>
      <c r="L35" s="88" t="s">
        <v>87</v>
      </c>
      <c r="M35" s="88">
        <v>4</v>
      </c>
      <c r="N35" s="38" t="s">
        <v>49</v>
      </c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>
        <f>IF(AND(PCdb[[#This Row],[BCD]]&gt;UIoptions!$S$10,PCdb[[#This Row],[BCD]]&lt;UIoptions!$T$10),1,0)</f>
        <v>0</v>
      </c>
      <c r="BC35" s="38">
        <f>IF(AND(PCdb[[#This Row],[PD]]&gt;UIoptions!$S$11,PCdb[[#This Row],[PD]]&lt;UIoptions!$T$11),1,0)</f>
        <v>0</v>
      </c>
      <c r="BD35" s="38">
        <f>IF(AND(UIoptions!$P$14&lt;=PCdb[[#This Row],[PL (MAX)]],UIoptions!$P$14&gt;UIoptions!$S$14),1,0)</f>
        <v>1</v>
      </c>
      <c r="BE35" s="38">
        <f>IF(AND(PCdb[[#This Row],[SD]]&gt;UIoptions!$S$12,PCdb[[#This Row],[SD]]&lt;UIoptions!$T$12),1,0)</f>
        <v>0</v>
      </c>
      <c r="BF35" s="38">
        <f>IF(AND(PCdb[[#This Row],[SL]]&gt;UIoptions!$S$13,PCdb[[#This Row],[SL]]&lt;UIoptions!$T$13),1,0)</f>
        <v>0</v>
      </c>
      <c r="BG35" s="38">
        <f>IF(UIoptions!$N$35=1,IF(AND(PCdb[[#This Row],[SQ_SZ]]&gt;UIoptions!$S$15,PCdb[[#This Row],[SQ_SZ]]&lt;UIoptions!$T$15),1,0),1)</f>
        <v>0</v>
      </c>
      <c r="BH35" s="38">
        <f>IF(UIoptions!$N$35=2,IF(AND(PCdb[[#This Row],[ROUND_D]]&gt;UIoptions!$S$15,PCdb[[#This Row],[ROUND_D]]&lt;UIoptions!$T$15),1,0),1)</f>
        <v>1</v>
      </c>
      <c r="BI35" s="38">
        <f>IF(UIoptions!$N$75&lt;&gt;1,1,IF(AND(PCdb[[#This Row],[FL]]&gt;UIoptions!$S$16,PCdb[[#This Row],[FL]]&lt;UIoptions!$T$16),1,0))</f>
        <v>0</v>
      </c>
      <c r="BJ35" s="38" t="e">
        <f>IF(OR(UIoptions!$Q$18=PCdb[[#This Row],[THRU_SCREW]],UIoptions!$Q$18="NA"),1,0)</f>
        <v>#N/A</v>
      </c>
      <c r="BK35" s="38">
        <f>IF(OR(UIoptions!$P$19=PCdb[[#This Row],[THREAD_SZ]],UIoptions!$P$19="NA"),1,0)</f>
        <v>1</v>
      </c>
      <c r="BL35" s="38">
        <f>IF(UIoptions!$N$75=1,1,IF(AND(PCdb[[#This Row],[THREAD_L]]&gt;UIoptions!$S$17,PCdb[[#This Row],[THREAD_L]]&lt;UIoptions!$T$17),1,0))</f>
        <v>1</v>
      </c>
      <c r="BM35" s="38" t="e">
        <f>IF(SUM(PCdb[[#This Row],[BDhit]:[THREAD_Lhit]])=11,1,0)</f>
        <v>#N/A</v>
      </c>
      <c r="BN3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100804143092NA7.5M6NANA4</v>
      </c>
      <c r="BO35" s="38" t="e">
        <f>SUM(PCdb[[#This Row],[BDhit]:[THREAD_Lhit]])</f>
        <v>#N/A</v>
      </c>
    </row>
    <row r="36" spans="1:67" x14ac:dyDescent="0.25">
      <c r="A36" s="7">
        <v>33</v>
      </c>
      <c r="B36" s="88">
        <v>70</v>
      </c>
      <c r="C36" s="88">
        <v>50</v>
      </c>
      <c r="D36" s="88">
        <v>4</v>
      </c>
      <c r="E36" s="88">
        <v>9</v>
      </c>
      <c r="F36" s="88">
        <v>25</v>
      </c>
      <c r="G36" s="88">
        <v>60</v>
      </c>
      <c r="H36" s="88" t="s">
        <v>87</v>
      </c>
      <c r="I36" s="88">
        <v>6</v>
      </c>
      <c r="J36" s="88" t="s">
        <v>45</v>
      </c>
      <c r="K36" s="88" t="s">
        <v>87</v>
      </c>
      <c r="L36" s="88" t="s">
        <v>87</v>
      </c>
      <c r="M36" s="88">
        <v>4</v>
      </c>
      <c r="N36" s="38" t="s">
        <v>45</v>
      </c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>
        <v>27</v>
      </c>
      <c r="AK36" s="38">
        <v>0</v>
      </c>
      <c r="AL36" s="38" t="s">
        <v>130</v>
      </c>
      <c r="AM36" s="38" t="s">
        <v>177</v>
      </c>
      <c r="AN36" s="38">
        <v>45</v>
      </c>
      <c r="AO36" s="38">
        <v>90</v>
      </c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>
        <f>IF(AND(PCdb[[#This Row],[BCD]]&gt;UIoptions!$S$10,PCdb[[#This Row],[BCD]]&lt;UIoptions!$T$10),1,0)</f>
        <v>0</v>
      </c>
      <c r="BC36" s="38">
        <f>IF(AND(PCdb[[#This Row],[PD]]&gt;UIoptions!$S$11,PCdb[[#This Row],[PD]]&lt;UIoptions!$T$11),1,0)</f>
        <v>0</v>
      </c>
      <c r="BD36" s="38">
        <f>IF(AND(UIoptions!$P$14&lt;=PCdb[[#This Row],[PL (MAX)]],UIoptions!$P$14&gt;UIoptions!$S$14),1,0)</f>
        <v>1</v>
      </c>
      <c r="BE36" s="38">
        <f>IF(AND(PCdb[[#This Row],[SD]]&gt;UIoptions!$S$12,PCdb[[#This Row],[SD]]&lt;UIoptions!$T$12),1,0)</f>
        <v>0</v>
      </c>
      <c r="BF36" s="38">
        <f>IF(AND(PCdb[[#This Row],[SL]]&gt;UIoptions!$S$13,PCdb[[#This Row],[SL]]&lt;UIoptions!$T$13),1,0)</f>
        <v>0</v>
      </c>
      <c r="BG36" s="38">
        <f>IF(UIoptions!$N$35=1,IF(AND(PCdb[[#This Row],[SQ_SZ]]&gt;UIoptions!$S$15,PCdb[[#This Row],[SQ_SZ]]&lt;UIoptions!$T$15),1,0),1)</f>
        <v>0</v>
      </c>
      <c r="BH36" s="38">
        <f>IF(UIoptions!$N$35=2,IF(AND(PCdb[[#This Row],[ROUND_D]]&gt;UIoptions!$S$15,PCdb[[#This Row],[ROUND_D]]&lt;UIoptions!$T$15),1,0),1)</f>
        <v>1</v>
      </c>
      <c r="BI36" s="38">
        <f>IF(UIoptions!$N$75&lt;&gt;1,1,IF(AND(PCdb[[#This Row],[FL]]&gt;UIoptions!$S$16,PCdb[[#This Row],[FL]]&lt;UIoptions!$T$16),1,0))</f>
        <v>0</v>
      </c>
      <c r="BJ36" s="38" t="e">
        <f>IF(OR(UIoptions!$Q$18=PCdb[[#This Row],[THRU_SCREW]],UIoptions!$Q$18="NA"),1,0)</f>
        <v>#N/A</v>
      </c>
      <c r="BK36" s="38">
        <f>IF(OR(UIoptions!$P$19=PCdb[[#This Row],[THREAD_SZ]],UIoptions!$P$19="NA"),1,0)</f>
        <v>1</v>
      </c>
      <c r="BL36" s="38">
        <f>IF(UIoptions!$N$75=1,1,IF(AND(PCdb[[#This Row],[THREAD_L]]&gt;UIoptions!$S$17,PCdb[[#This Row],[THREAD_L]]&lt;UIoptions!$T$17),1,0))</f>
        <v>1</v>
      </c>
      <c r="BM36" s="38" t="e">
        <f>IF(SUM(PCdb[[#This Row],[BDhit]:[THREAD_Lhit]])=11,1,0)</f>
        <v>#N/A</v>
      </c>
      <c r="BN3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7050492560NA6M5NANA4</v>
      </c>
      <c r="BO36" s="38" t="e">
        <f>SUM(PCdb[[#This Row],[BDhit]:[THREAD_Lhit]])</f>
        <v>#N/A</v>
      </c>
    </row>
    <row r="37" spans="1:67" x14ac:dyDescent="0.25">
      <c r="A37" s="7">
        <v>34</v>
      </c>
      <c r="B37" s="88">
        <v>66.7</v>
      </c>
      <c r="C37" s="88">
        <v>38.200000000000003</v>
      </c>
      <c r="D37" s="88">
        <v>4</v>
      </c>
      <c r="E37" s="88">
        <v>6.35</v>
      </c>
      <c r="F37" s="88">
        <v>20</v>
      </c>
      <c r="G37" s="88">
        <v>57.7</v>
      </c>
      <c r="H37" s="88" t="s">
        <v>87</v>
      </c>
      <c r="I37" s="88">
        <v>6</v>
      </c>
      <c r="J37" s="88" t="s">
        <v>7</v>
      </c>
      <c r="K37" s="88" t="s">
        <v>87</v>
      </c>
      <c r="L37" s="88" t="s">
        <v>87</v>
      </c>
      <c r="M37" s="88">
        <v>4</v>
      </c>
      <c r="N37" s="38" t="s">
        <v>7</v>
      </c>
      <c r="O37" s="38">
        <v>38.700000000000003</v>
      </c>
      <c r="P37" s="38">
        <v>22</v>
      </c>
      <c r="Q37" s="38">
        <v>0</v>
      </c>
      <c r="R37" s="38" t="s">
        <v>130</v>
      </c>
      <c r="S37" s="38" t="s">
        <v>172</v>
      </c>
      <c r="T37" s="38">
        <v>45</v>
      </c>
      <c r="U37" s="38">
        <v>90</v>
      </c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>
        <f>IF(AND(PCdb[[#This Row],[BCD]]&gt;UIoptions!$S$10,PCdb[[#This Row],[BCD]]&lt;UIoptions!$T$10),1,0)</f>
        <v>0</v>
      </c>
      <c r="BC37" s="38">
        <f>IF(AND(PCdb[[#This Row],[PD]]&gt;UIoptions!$S$11,PCdb[[#This Row],[PD]]&lt;UIoptions!$T$11),1,0)</f>
        <v>0</v>
      </c>
      <c r="BD37" s="38">
        <f>IF(AND(UIoptions!$P$14&lt;=PCdb[[#This Row],[PL (MAX)]],UIoptions!$P$14&gt;UIoptions!$S$14),1,0)</f>
        <v>1</v>
      </c>
      <c r="BE37" s="38">
        <f>IF(AND(PCdb[[#This Row],[SD]]&gt;UIoptions!$S$12,PCdb[[#This Row],[SD]]&lt;UIoptions!$T$12),1,0)</f>
        <v>0</v>
      </c>
      <c r="BF37" s="38">
        <f>IF(AND(PCdb[[#This Row],[SL]]&gt;UIoptions!$S$13,PCdb[[#This Row],[SL]]&lt;UIoptions!$T$13),1,0)</f>
        <v>0</v>
      </c>
      <c r="BG37" s="38">
        <f>IF(UIoptions!$N$35=1,IF(AND(PCdb[[#This Row],[SQ_SZ]]&gt;UIoptions!$S$15,PCdb[[#This Row],[SQ_SZ]]&lt;UIoptions!$T$15),1,0),1)</f>
        <v>0</v>
      </c>
      <c r="BH37" s="38">
        <f>IF(UIoptions!$N$35=2,IF(AND(PCdb[[#This Row],[ROUND_D]]&gt;UIoptions!$S$15,PCdb[[#This Row],[ROUND_D]]&lt;UIoptions!$T$15),1,0),1)</f>
        <v>1</v>
      </c>
      <c r="BI37" s="38">
        <f>IF(UIoptions!$N$75&lt;&gt;1,1,IF(AND(PCdb[[#This Row],[FL]]&gt;UIoptions!$S$16,PCdb[[#This Row],[FL]]&lt;UIoptions!$T$16),1,0))</f>
        <v>0</v>
      </c>
      <c r="BJ37" s="38" t="e">
        <f>IF(OR(UIoptions!$Q$18=PCdb[[#This Row],[THRU_SCREW]],UIoptions!$Q$18="NA"),1,0)</f>
        <v>#N/A</v>
      </c>
      <c r="BK37" s="38">
        <f>IF(OR(UIoptions!$P$19=PCdb[[#This Row],[THREAD_SZ]],UIoptions!$P$19="NA"),1,0)</f>
        <v>1</v>
      </c>
      <c r="BL37" s="38">
        <f>IF(UIoptions!$N$75=1,1,IF(AND(PCdb[[#This Row],[THREAD_L]]&gt;UIoptions!$S$17,PCdb[[#This Row],[THREAD_L]]&lt;UIoptions!$T$17),1,0))</f>
        <v>1</v>
      </c>
      <c r="BM37" s="38" t="e">
        <f>IF(SUM(PCdb[[#This Row],[BDhit]:[THREAD_Lhit]])=11,1,0)</f>
        <v>#N/A</v>
      </c>
      <c r="BN3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66.738.246.352057.7NA6M4NANA4</v>
      </c>
      <c r="BO37" s="38" t="e">
        <f>SUM(PCdb[[#This Row],[BDhit]:[THREAD_Lhit]])</f>
        <v>#N/A</v>
      </c>
    </row>
    <row r="38" spans="1:67" x14ac:dyDescent="0.25">
      <c r="A38" s="7">
        <v>35</v>
      </c>
      <c r="B38" s="88">
        <v>98.4</v>
      </c>
      <c r="C38" s="88">
        <v>73.08</v>
      </c>
      <c r="D38" s="88">
        <v>4</v>
      </c>
      <c r="E38" s="88">
        <v>9.5299999999999994</v>
      </c>
      <c r="F38" s="88">
        <v>30</v>
      </c>
      <c r="G38" s="88">
        <v>86.9</v>
      </c>
      <c r="H38" s="88" t="s">
        <v>87</v>
      </c>
      <c r="I38" s="88">
        <v>8</v>
      </c>
      <c r="J38" s="88" t="s">
        <v>45</v>
      </c>
      <c r="K38" s="88" t="s">
        <v>87</v>
      </c>
      <c r="L38" s="88" t="s">
        <v>87</v>
      </c>
      <c r="M38" s="88">
        <v>4</v>
      </c>
      <c r="N38" s="38" t="s">
        <v>45</v>
      </c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>
        <f>IF(AND(PCdb[[#This Row],[BCD]]&gt;UIoptions!$S$10,PCdb[[#This Row],[BCD]]&lt;UIoptions!$T$10),1,0)</f>
        <v>0</v>
      </c>
      <c r="BC38" s="38">
        <f>IF(AND(PCdb[[#This Row],[PD]]&gt;UIoptions!$S$11,PCdb[[#This Row],[PD]]&lt;UIoptions!$T$11),1,0)</f>
        <v>0</v>
      </c>
      <c r="BD38" s="38">
        <f>IF(AND(UIoptions!$P$14&lt;=PCdb[[#This Row],[PL (MAX)]],UIoptions!$P$14&gt;UIoptions!$S$14),1,0)</f>
        <v>1</v>
      </c>
      <c r="BE38" s="38">
        <f>IF(AND(PCdb[[#This Row],[SD]]&gt;UIoptions!$S$12,PCdb[[#This Row],[SD]]&lt;UIoptions!$T$12),1,0)</f>
        <v>0</v>
      </c>
      <c r="BF38" s="38">
        <f>IF(AND(PCdb[[#This Row],[SL]]&gt;UIoptions!$S$13,PCdb[[#This Row],[SL]]&lt;UIoptions!$T$13),1,0)</f>
        <v>0</v>
      </c>
      <c r="BG38" s="38">
        <f>IF(UIoptions!$N$35=1,IF(AND(PCdb[[#This Row],[SQ_SZ]]&gt;UIoptions!$S$15,PCdb[[#This Row],[SQ_SZ]]&lt;UIoptions!$T$15),1,0),1)</f>
        <v>0</v>
      </c>
      <c r="BH38" s="38">
        <f>IF(UIoptions!$N$35=2,IF(AND(PCdb[[#This Row],[ROUND_D]]&gt;UIoptions!$S$15,PCdb[[#This Row],[ROUND_D]]&lt;UIoptions!$T$15),1,0),1)</f>
        <v>1</v>
      </c>
      <c r="BI38" s="38">
        <f>IF(UIoptions!$N$75&lt;&gt;1,1,IF(AND(PCdb[[#This Row],[FL]]&gt;UIoptions!$S$16,PCdb[[#This Row],[FL]]&lt;UIoptions!$T$16),1,0))</f>
        <v>0</v>
      </c>
      <c r="BJ38" s="38" t="e">
        <f>IF(OR(UIoptions!$Q$18=PCdb[[#This Row],[THRU_SCREW]],UIoptions!$Q$18="NA"),1,0)</f>
        <v>#N/A</v>
      </c>
      <c r="BK38" s="38">
        <f>IF(OR(UIoptions!$P$19=PCdb[[#This Row],[THREAD_SZ]],UIoptions!$P$19="NA"),1,0)</f>
        <v>1</v>
      </c>
      <c r="BL38" s="38">
        <f>IF(UIoptions!$N$75=1,1,IF(AND(PCdb[[#This Row],[THREAD_L]]&gt;UIoptions!$S$17,PCdb[[#This Row],[THREAD_L]]&lt;UIoptions!$T$17),1,0))</f>
        <v>1</v>
      </c>
      <c r="BM38" s="38" t="e">
        <f>IF(SUM(PCdb[[#This Row],[BDhit]:[THREAD_Lhit]])=11,1,0)</f>
        <v>#N/A</v>
      </c>
      <c r="BN3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98.473.0849.533086.9NA8M5NANA4</v>
      </c>
      <c r="BO38" s="38" t="e">
        <f>SUM(PCdb[[#This Row],[BDhit]:[THREAD_Lhit]])</f>
        <v>#N/A</v>
      </c>
    </row>
    <row r="39" spans="1:67" x14ac:dyDescent="0.25">
      <c r="A39" s="7">
        <v>36</v>
      </c>
      <c r="B39" s="93">
        <v>98.4</v>
      </c>
      <c r="C39" s="93">
        <v>73.08</v>
      </c>
      <c r="D39" s="93">
        <v>4</v>
      </c>
      <c r="E39" s="93">
        <v>15.875</v>
      </c>
      <c r="F39" s="93">
        <v>30</v>
      </c>
      <c r="G39" s="93">
        <v>86.9</v>
      </c>
      <c r="H39" s="93" t="s">
        <v>87</v>
      </c>
      <c r="I39" s="93">
        <v>8</v>
      </c>
      <c r="J39" s="93" t="s">
        <v>45</v>
      </c>
      <c r="K39" s="93" t="s">
        <v>87</v>
      </c>
      <c r="L39" s="93" t="s">
        <v>87</v>
      </c>
      <c r="M39" s="93">
        <v>4</v>
      </c>
      <c r="N39" s="38" t="s">
        <v>45</v>
      </c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>
        <f>IF(AND(PCdb[[#This Row],[BCD]]&gt;UIoptions!$S$10,PCdb[[#This Row],[BCD]]&lt;UIoptions!$T$10),1,0)</f>
        <v>0</v>
      </c>
      <c r="BC39" s="38">
        <f>IF(AND(PCdb[[#This Row],[PD]]&gt;UIoptions!$S$11,PCdb[[#This Row],[PD]]&lt;UIoptions!$T$11),1,0)</f>
        <v>0</v>
      </c>
      <c r="BD39" s="38">
        <f>IF(AND(UIoptions!$P$14&lt;=PCdb[[#This Row],[PL (MAX)]],UIoptions!$P$14&gt;UIoptions!$S$14),1,0)</f>
        <v>1</v>
      </c>
      <c r="BE39" s="38">
        <f>IF(AND(PCdb[[#This Row],[SD]]&gt;UIoptions!$S$12,PCdb[[#This Row],[SD]]&lt;UIoptions!$T$12),1,0)</f>
        <v>0</v>
      </c>
      <c r="BF39" s="38">
        <f>IF(AND(PCdb[[#This Row],[SL]]&gt;UIoptions!$S$13,PCdb[[#This Row],[SL]]&lt;UIoptions!$T$13),1,0)</f>
        <v>0</v>
      </c>
      <c r="BG39" s="38">
        <f>IF(UIoptions!$N$35=1,IF(AND(PCdb[[#This Row],[SQ_SZ]]&gt;UIoptions!$S$15,PCdb[[#This Row],[SQ_SZ]]&lt;UIoptions!$T$15),1,0),1)</f>
        <v>0</v>
      </c>
      <c r="BH39" s="38">
        <f>IF(UIoptions!$N$35=2,IF(AND(PCdb[[#This Row],[ROUND_D]]&gt;UIoptions!$S$15,PCdb[[#This Row],[ROUND_D]]&lt;UIoptions!$T$15),1,0),1)</f>
        <v>1</v>
      </c>
      <c r="BI39" s="38">
        <f>IF(UIoptions!$N$75&lt;&gt;1,1,IF(AND(PCdb[[#This Row],[FL]]&gt;UIoptions!$S$16,PCdb[[#This Row],[FL]]&lt;UIoptions!$T$16),1,0))</f>
        <v>0</v>
      </c>
      <c r="BJ39" s="38" t="e">
        <f>IF(OR(UIoptions!$Q$18=PCdb[[#This Row],[THRU_SCREW]],UIoptions!$Q$18="NA"),1,0)</f>
        <v>#N/A</v>
      </c>
      <c r="BK39" s="38">
        <f>IF(OR(UIoptions!$P$19=PCdb[[#This Row],[THREAD_SZ]],UIoptions!$P$19="NA"),1,0)</f>
        <v>1</v>
      </c>
      <c r="BL39" s="38">
        <f>IF(UIoptions!$N$75=1,1,IF(AND(PCdb[[#This Row],[THREAD_L]]&gt;UIoptions!$S$17,PCdb[[#This Row],[THREAD_L]]&lt;UIoptions!$T$17),1,0))</f>
        <v>1</v>
      </c>
      <c r="BM39" s="38" t="e">
        <f>IF(SUM(PCdb[[#This Row],[BDhit]:[THREAD_Lhit]])=11,1,0)</f>
        <v>#N/A</v>
      </c>
      <c r="BN3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98.473.08415.8753086.9NA8M5NANA4</v>
      </c>
      <c r="BO39" s="38" t="e">
        <f>SUM(PCdb[[#This Row],[BDhit]:[THREAD_Lhit]])</f>
        <v>#N/A</v>
      </c>
    </row>
    <row r="40" spans="1:67" x14ac:dyDescent="0.25">
      <c r="A40" s="7">
        <v>37</v>
      </c>
      <c r="B40" s="93">
        <v>63</v>
      </c>
      <c r="C40" s="93">
        <v>40</v>
      </c>
      <c r="D40" s="93">
        <v>4</v>
      </c>
      <c r="E40" s="93">
        <v>9</v>
      </c>
      <c r="F40" s="93">
        <v>20</v>
      </c>
      <c r="G40" s="93">
        <v>54</v>
      </c>
      <c r="H40" s="93" t="s">
        <v>87</v>
      </c>
      <c r="I40" s="93">
        <v>7</v>
      </c>
      <c r="J40" s="93" t="s">
        <v>7</v>
      </c>
      <c r="K40" s="93" t="s">
        <v>87</v>
      </c>
      <c r="L40" s="93" t="s">
        <v>87</v>
      </c>
      <c r="M40" s="93">
        <v>4</v>
      </c>
      <c r="N40" s="38" t="s">
        <v>7</v>
      </c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>
        <v>24</v>
      </c>
      <c r="AW40" s="38">
        <v>0</v>
      </c>
      <c r="AX40" s="38" t="s">
        <v>263</v>
      </c>
      <c r="AY40" s="38" t="s">
        <v>176</v>
      </c>
      <c r="AZ40" s="38">
        <v>45</v>
      </c>
      <c r="BA40" s="38">
        <v>90</v>
      </c>
      <c r="BB40" s="38">
        <f>IF(AND(PCdb[[#This Row],[BCD]]&gt;UIoptions!$S$10,PCdb[[#This Row],[BCD]]&lt;UIoptions!$T$10),1,0)</f>
        <v>0</v>
      </c>
      <c r="BC40" s="38">
        <f>IF(AND(PCdb[[#This Row],[PD]]&gt;UIoptions!$S$11,PCdb[[#This Row],[PD]]&lt;UIoptions!$T$11),1,0)</f>
        <v>0</v>
      </c>
      <c r="BD40" s="38">
        <f>IF(AND(UIoptions!$P$14&lt;=PCdb[[#This Row],[PL (MAX)]],UIoptions!$P$14&gt;UIoptions!$S$14),1,0)</f>
        <v>1</v>
      </c>
      <c r="BE40" s="38">
        <f>IF(AND(PCdb[[#This Row],[SD]]&gt;UIoptions!$S$12,PCdb[[#This Row],[SD]]&lt;UIoptions!$T$12),1,0)</f>
        <v>0</v>
      </c>
      <c r="BF40" s="38">
        <f>IF(AND(PCdb[[#This Row],[SL]]&gt;UIoptions!$S$13,PCdb[[#This Row],[SL]]&lt;UIoptions!$T$13),1,0)</f>
        <v>0</v>
      </c>
      <c r="BG40" s="38">
        <f>IF(UIoptions!$N$35=1,IF(AND(PCdb[[#This Row],[SQ_SZ]]&gt;UIoptions!$S$15,PCdb[[#This Row],[SQ_SZ]]&lt;UIoptions!$T$15),1,0),1)</f>
        <v>0</v>
      </c>
      <c r="BH40" s="38">
        <f>IF(UIoptions!$N$35=2,IF(AND(PCdb[[#This Row],[ROUND_D]]&gt;UIoptions!$S$15,PCdb[[#This Row],[ROUND_D]]&lt;UIoptions!$T$15),1,0),1)</f>
        <v>1</v>
      </c>
      <c r="BI40" s="38">
        <f>IF(UIoptions!$N$75&lt;&gt;1,1,IF(AND(PCdb[[#This Row],[FL]]&gt;UIoptions!$S$16,PCdb[[#This Row],[FL]]&lt;UIoptions!$T$16),1,0))</f>
        <v>0</v>
      </c>
      <c r="BJ40" s="38" t="e">
        <f>IF(OR(UIoptions!$Q$18=PCdb[[#This Row],[THRU_SCREW]],UIoptions!$Q$18="NA"),1,0)</f>
        <v>#N/A</v>
      </c>
      <c r="BK40" s="38">
        <f>IF(OR(UIoptions!$P$19=PCdb[[#This Row],[THREAD_SZ]],UIoptions!$P$19="NA"),1,0)</f>
        <v>1</v>
      </c>
      <c r="BL40" s="38">
        <f>IF(UIoptions!$N$75=1,1,IF(AND(PCdb[[#This Row],[THREAD_L]]&gt;UIoptions!$S$17,PCdb[[#This Row],[THREAD_L]]&lt;UIoptions!$T$17),1,0))</f>
        <v>1</v>
      </c>
      <c r="BM40" s="38" t="e">
        <f>IF(SUM(PCdb[[#This Row],[BDhit]:[THREAD_Lhit]])=11,1,0)</f>
        <v>#N/A</v>
      </c>
      <c r="BN4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6340492054NA7M4NANA4</v>
      </c>
      <c r="BO40" s="38" t="e">
        <f>SUM(PCdb[[#This Row],[BDhit]:[THREAD_Lhit]])</f>
        <v>#N/A</v>
      </c>
    </row>
    <row r="41" spans="1:67" x14ac:dyDescent="0.25">
      <c r="A41" s="7">
        <v>38</v>
      </c>
      <c r="B41" s="93">
        <v>95</v>
      </c>
      <c r="C41" s="93">
        <v>50</v>
      </c>
      <c r="D41" s="93">
        <v>4</v>
      </c>
      <c r="E41" s="93">
        <v>14</v>
      </c>
      <c r="F41" s="93">
        <v>30</v>
      </c>
      <c r="G41" s="93">
        <v>82</v>
      </c>
      <c r="H41" s="93" t="s">
        <v>87</v>
      </c>
      <c r="I41" s="93">
        <v>8</v>
      </c>
      <c r="J41" s="93" t="s">
        <v>49</v>
      </c>
      <c r="K41" s="93" t="s">
        <v>87</v>
      </c>
      <c r="L41" s="93" t="s">
        <v>87</v>
      </c>
      <c r="M41" s="93">
        <v>4</v>
      </c>
      <c r="N41" s="38" t="s">
        <v>49</v>
      </c>
      <c r="O41" s="38"/>
      <c r="P41" s="38"/>
      <c r="Q41" s="38"/>
      <c r="R41" s="38"/>
      <c r="S41" s="38"/>
      <c r="T41" s="38"/>
      <c r="U41" s="38"/>
      <c r="V41" s="38">
        <v>45.2</v>
      </c>
      <c r="W41" s="38">
        <v>30</v>
      </c>
      <c r="X41" s="38">
        <v>0</v>
      </c>
      <c r="Y41" s="38" t="s">
        <v>130</v>
      </c>
      <c r="Z41" s="38" t="s">
        <v>172</v>
      </c>
      <c r="AA41" s="38">
        <v>45</v>
      </c>
      <c r="AB41" s="38">
        <v>90</v>
      </c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>
        <f>IF(AND(PCdb[[#This Row],[BCD]]&gt;UIoptions!$S$10,PCdb[[#This Row],[BCD]]&lt;UIoptions!$T$10),1,0)</f>
        <v>0</v>
      </c>
      <c r="BC41" s="38">
        <f>IF(AND(PCdb[[#This Row],[PD]]&gt;UIoptions!$S$11,PCdb[[#This Row],[PD]]&lt;UIoptions!$T$11),1,0)</f>
        <v>0</v>
      </c>
      <c r="BD41" s="38">
        <f>IF(AND(UIoptions!$P$14&lt;=PCdb[[#This Row],[PL (MAX)]],UIoptions!$P$14&gt;UIoptions!$S$14),1,0)</f>
        <v>1</v>
      </c>
      <c r="BE41" s="38">
        <f>IF(AND(PCdb[[#This Row],[SD]]&gt;UIoptions!$S$12,PCdb[[#This Row],[SD]]&lt;UIoptions!$T$12),1,0)</f>
        <v>0</v>
      </c>
      <c r="BF41" s="38">
        <f>IF(AND(PCdb[[#This Row],[SL]]&gt;UIoptions!$S$13,PCdb[[#This Row],[SL]]&lt;UIoptions!$T$13),1,0)</f>
        <v>0</v>
      </c>
      <c r="BG41" s="38">
        <f>IF(UIoptions!$N$35=1,IF(AND(PCdb[[#This Row],[SQ_SZ]]&gt;UIoptions!$S$15,PCdb[[#This Row],[SQ_SZ]]&lt;UIoptions!$T$15),1,0),1)</f>
        <v>0</v>
      </c>
      <c r="BH41" s="38">
        <f>IF(UIoptions!$N$35=2,IF(AND(PCdb[[#This Row],[ROUND_D]]&gt;UIoptions!$S$15,PCdb[[#This Row],[ROUND_D]]&lt;UIoptions!$T$15),1,0),1)</f>
        <v>1</v>
      </c>
      <c r="BI41" s="38">
        <f>IF(UIoptions!$N$75&lt;&gt;1,1,IF(AND(PCdb[[#This Row],[FL]]&gt;UIoptions!$S$16,PCdb[[#This Row],[FL]]&lt;UIoptions!$T$16),1,0))</f>
        <v>0</v>
      </c>
      <c r="BJ41" s="38" t="e">
        <f>IF(OR(UIoptions!$Q$18=PCdb[[#This Row],[THRU_SCREW]],UIoptions!$Q$18="NA"),1,0)</f>
        <v>#N/A</v>
      </c>
      <c r="BK41" s="38">
        <f>IF(OR(UIoptions!$P$19=PCdb[[#This Row],[THREAD_SZ]],UIoptions!$P$19="NA"),1,0)</f>
        <v>1</v>
      </c>
      <c r="BL41" s="38">
        <f>IF(UIoptions!$N$75=1,1,IF(AND(PCdb[[#This Row],[THREAD_L]]&gt;UIoptions!$S$17,PCdb[[#This Row],[THREAD_L]]&lt;UIoptions!$T$17),1,0))</f>
        <v>1</v>
      </c>
      <c r="BM41" s="38" t="e">
        <f>IF(SUM(PCdb[[#This Row],[BDhit]:[THREAD_Lhit]])=11,1,0)</f>
        <v>#N/A</v>
      </c>
      <c r="BN4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95504143082NA8M6NANA4</v>
      </c>
      <c r="BO41" s="38" t="e">
        <f>SUM(PCdb[[#This Row],[BDhit]:[THREAD_Lhit]])</f>
        <v>#N/A</v>
      </c>
    </row>
    <row r="42" spans="1:67" x14ac:dyDescent="0.25">
      <c r="A42" s="7">
        <v>39</v>
      </c>
      <c r="B42" s="93">
        <v>66.8</v>
      </c>
      <c r="C42" s="93">
        <v>38.1</v>
      </c>
      <c r="D42" s="93">
        <v>4</v>
      </c>
      <c r="E42" s="93">
        <v>6.35</v>
      </c>
      <c r="F42" s="93">
        <v>20.6</v>
      </c>
      <c r="G42" s="93">
        <v>57.2</v>
      </c>
      <c r="H42" s="93" t="s">
        <v>87</v>
      </c>
      <c r="I42" s="93">
        <v>5.0999999999999996</v>
      </c>
      <c r="J42" s="93" t="s">
        <v>7</v>
      </c>
      <c r="K42" s="93" t="s">
        <v>87</v>
      </c>
      <c r="L42" s="93" t="s">
        <v>87</v>
      </c>
      <c r="M42" s="93">
        <v>4</v>
      </c>
      <c r="N42" s="38" t="s">
        <v>7</v>
      </c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>
        <f>IF(AND(PCdb[[#This Row],[BCD]]&gt;UIoptions!$S$10,PCdb[[#This Row],[BCD]]&lt;UIoptions!$T$10),1,0)</f>
        <v>0</v>
      </c>
      <c r="BC42" s="38">
        <f>IF(AND(PCdb[[#This Row],[PD]]&gt;UIoptions!$S$11,PCdb[[#This Row],[PD]]&lt;UIoptions!$T$11),1,0)</f>
        <v>0</v>
      </c>
      <c r="BD42" s="38">
        <f>IF(AND(UIoptions!$P$14&lt;=PCdb[[#This Row],[PL (MAX)]],UIoptions!$P$14&gt;UIoptions!$S$14),1,0)</f>
        <v>1</v>
      </c>
      <c r="BE42" s="38">
        <f>IF(AND(PCdb[[#This Row],[SD]]&gt;UIoptions!$S$12,PCdb[[#This Row],[SD]]&lt;UIoptions!$T$12),1,0)</f>
        <v>0</v>
      </c>
      <c r="BF42" s="38">
        <f>IF(AND(PCdb[[#This Row],[SL]]&gt;UIoptions!$S$13,PCdb[[#This Row],[SL]]&lt;UIoptions!$T$13),1,0)</f>
        <v>0</v>
      </c>
      <c r="BG42" s="38">
        <f>IF(UIoptions!$N$35=1,IF(AND(PCdb[[#This Row],[SQ_SZ]]&gt;UIoptions!$S$15,PCdb[[#This Row],[SQ_SZ]]&lt;UIoptions!$T$15),1,0),1)</f>
        <v>0</v>
      </c>
      <c r="BH42" s="38">
        <f>IF(UIoptions!$N$35=2,IF(AND(PCdb[[#This Row],[ROUND_D]]&gt;UIoptions!$S$15,PCdb[[#This Row],[ROUND_D]]&lt;UIoptions!$T$15),1,0),1)</f>
        <v>1</v>
      </c>
      <c r="BI42" s="38">
        <f>IF(UIoptions!$N$75&lt;&gt;1,1,IF(AND(PCdb[[#This Row],[FL]]&gt;UIoptions!$S$16,PCdb[[#This Row],[FL]]&lt;UIoptions!$T$16),1,0))</f>
        <v>0</v>
      </c>
      <c r="BJ42" s="38" t="e">
        <f>IF(OR(UIoptions!$Q$18=PCdb[[#This Row],[THRU_SCREW]],UIoptions!$Q$18="NA"),1,0)</f>
        <v>#N/A</v>
      </c>
      <c r="BK42" s="38">
        <f>IF(OR(UIoptions!$P$19=PCdb[[#This Row],[THREAD_SZ]],UIoptions!$P$19="NA"),1,0)</f>
        <v>1</v>
      </c>
      <c r="BL42" s="38">
        <f>IF(UIoptions!$N$75=1,1,IF(AND(PCdb[[#This Row],[THREAD_L]]&gt;UIoptions!$S$17,PCdb[[#This Row],[THREAD_L]]&lt;UIoptions!$T$17),1,0))</f>
        <v>1</v>
      </c>
      <c r="BM42" s="38" t="e">
        <f>IF(SUM(PCdb[[#This Row],[BDhit]:[THREAD_Lhit]])=11,1,0)</f>
        <v>#N/A</v>
      </c>
      <c r="BN4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66.838.146.3520.657.2NA5.1M4NANA4</v>
      </c>
      <c r="BO42" s="38" t="e">
        <f>SUM(PCdb[[#This Row],[BDhit]:[THREAD_Lhit]])</f>
        <v>#N/A</v>
      </c>
    </row>
    <row r="43" spans="1:67" x14ac:dyDescent="0.25">
      <c r="A43" s="7">
        <v>40</v>
      </c>
      <c r="B43" s="93">
        <v>98.4</v>
      </c>
      <c r="C43" s="93">
        <v>73.03</v>
      </c>
      <c r="D43" s="93">
        <v>4</v>
      </c>
      <c r="E43" s="93">
        <v>12.7</v>
      </c>
      <c r="F43" s="93">
        <v>37.1</v>
      </c>
      <c r="G43" s="93">
        <v>86.1</v>
      </c>
      <c r="H43" s="93" t="s">
        <v>87</v>
      </c>
      <c r="I43" s="93">
        <v>10.199999999999999</v>
      </c>
      <c r="J43" s="93" t="s">
        <v>49</v>
      </c>
      <c r="K43" s="93" t="s">
        <v>87</v>
      </c>
      <c r="L43" s="93" t="s">
        <v>87</v>
      </c>
      <c r="M43" s="93">
        <v>4</v>
      </c>
      <c r="N43" s="38" t="s">
        <v>49</v>
      </c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>
        <v>48.7</v>
      </c>
      <c r="AD43" s="38">
        <v>39</v>
      </c>
      <c r="AE43" s="38" t="s">
        <v>87</v>
      </c>
      <c r="AF43" s="38" t="s">
        <v>130</v>
      </c>
      <c r="AG43" s="38" t="s">
        <v>172</v>
      </c>
      <c r="AH43" s="38">
        <v>45</v>
      </c>
      <c r="AI43" s="38">
        <v>90</v>
      </c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>
        <f>IF(AND(PCdb[[#This Row],[BCD]]&gt;UIoptions!$S$10,PCdb[[#This Row],[BCD]]&lt;UIoptions!$T$10),1,0)</f>
        <v>0</v>
      </c>
      <c r="BC43" s="38">
        <f>IF(AND(PCdb[[#This Row],[PD]]&gt;UIoptions!$S$11,PCdb[[#This Row],[PD]]&lt;UIoptions!$T$11),1,0)</f>
        <v>0</v>
      </c>
      <c r="BD43" s="38">
        <f>IF(AND(UIoptions!$P$14&lt;=PCdb[[#This Row],[PL (MAX)]],UIoptions!$P$14&gt;UIoptions!$S$14),1,0)</f>
        <v>1</v>
      </c>
      <c r="BE43" s="38">
        <f>IF(AND(PCdb[[#This Row],[SD]]&gt;UIoptions!$S$12,PCdb[[#This Row],[SD]]&lt;UIoptions!$T$12),1,0)</f>
        <v>0</v>
      </c>
      <c r="BF43" s="38">
        <f>IF(AND(PCdb[[#This Row],[SL]]&gt;UIoptions!$S$13,PCdb[[#This Row],[SL]]&lt;UIoptions!$T$13),1,0)</f>
        <v>0</v>
      </c>
      <c r="BG43" s="38">
        <f>IF(UIoptions!$N$35=1,IF(AND(PCdb[[#This Row],[SQ_SZ]]&gt;UIoptions!$S$15,PCdb[[#This Row],[SQ_SZ]]&lt;UIoptions!$T$15),1,0),1)</f>
        <v>0</v>
      </c>
      <c r="BH43" s="38">
        <f>IF(UIoptions!$N$35=2,IF(AND(PCdb[[#This Row],[ROUND_D]]&gt;UIoptions!$S$15,PCdb[[#This Row],[ROUND_D]]&lt;UIoptions!$T$15),1,0),1)</f>
        <v>1</v>
      </c>
      <c r="BI43" s="38">
        <f>IF(UIoptions!$N$75&lt;&gt;1,1,IF(AND(PCdb[[#This Row],[FL]]&gt;UIoptions!$S$16,PCdb[[#This Row],[FL]]&lt;UIoptions!$T$16),1,0))</f>
        <v>0</v>
      </c>
      <c r="BJ43" s="38" t="e">
        <f>IF(OR(UIoptions!$Q$18=PCdb[[#This Row],[THRU_SCREW]],UIoptions!$Q$18="NA"),1,0)</f>
        <v>#N/A</v>
      </c>
      <c r="BK43" s="38">
        <f>IF(OR(UIoptions!$P$19=PCdb[[#This Row],[THREAD_SZ]],UIoptions!$P$19="NA"),1,0)</f>
        <v>1</v>
      </c>
      <c r="BL43" s="38">
        <f>IF(UIoptions!$N$75=1,1,IF(AND(PCdb[[#This Row],[THREAD_L]]&gt;UIoptions!$S$17,PCdb[[#This Row],[THREAD_L]]&lt;UIoptions!$T$17),1,0))</f>
        <v>1</v>
      </c>
      <c r="BM43" s="38" t="e">
        <f>IF(SUM(PCdb[[#This Row],[BDhit]:[THREAD_Lhit]])=11,1,0)</f>
        <v>#N/A</v>
      </c>
      <c r="BN4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98.473.03412.737.186.1NA10.2M6NANA4</v>
      </c>
      <c r="BO43" s="38" t="e">
        <f>SUM(PCdb[[#This Row],[BDhit]:[THREAD_Lhit]])</f>
        <v>#N/A</v>
      </c>
    </row>
    <row r="44" spans="1:67" x14ac:dyDescent="0.25">
      <c r="A44" s="7">
        <v>41</v>
      </c>
      <c r="B44" s="93">
        <v>66.8</v>
      </c>
      <c r="C44" s="93">
        <v>38.1</v>
      </c>
      <c r="D44" s="93">
        <v>4</v>
      </c>
      <c r="E44" s="93">
        <v>6.35</v>
      </c>
      <c r="F44" s="93">
        <v>20.5</v>
      </c>
      <c r="G44" s="93">
        <v>57.4</v>
      </c>
      <c r="H44" s="93" t="s">
        <v>87</v>
      </c>
      <c r="I44" s="93">
        <v>4.5999999999999996</v>
      </c>
      <c r="J44" s="93" t="s">
        <v>7</v>
      </c>
      <c r="K44" s="93" t="s">
        <v>87</v>
      </c>
      <c r="L44" s="93" t="s">
        <v>87</v>
      </c>
      <c r="M44" s="93">
        <v>4</v>
      </c>
      <c r="N44" s="38" t="s">
        <v>7</v>
      </c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>
        <f>IF(AND(PCdb[[#This Row],[BCD]]&gt;UIoptions!$S$10,PCdb[[#This Row],[BCD]]&lt;UIoptions!$T$10),1,0)</f>
        <v>0</v>
      </c>
      <c r="BC44" s="38">
        <f>IF(AND(PCdb[[#This Row],[PD]]&gt;UIoptions!$S$11,PCdb[[#This Row],[PD]]&lt;UIoptions!$T$11),1,0)</f>
        <v>0</v>
      </c>
      <c r="BD44" s="38">
        <f>IF(AND(UIoptions!$P$14&lt;=PCdb[[#This Row],[PL (MAX)]],UIoptions!$P$14&gt;UIoptions!$S$14),1,0)</f>
        <v>1</v>
      </c>
      <c r="BE44" s="38">
        <f>IF(AND(PCdb[[#This Row],[SD]]&gt;UIoptions!$S$12,PCdb[[#This Row],[SD]]&lt;UIoptions!$T$12),1,0)</f>
        <v>0</v>
      </c>
      <c r="BF44" s="38">
        <f>IF(AND(PCdb[[#This Row],[SL]]&gt;UIoptions!$S$13,PCdb[[#This Row],[SL]]&lt;UIoptions!$T$13),1,0)</f>
        <v>0</v>
      </c>
      <c r="BG44" s="38">
        <f>IF(UIoptions!$N$35=1,IF(AND(PCdb[[#This Row],[SQ_SZ]]&gt;UIoptions!$S$15,PCdb[[#This Row],[SQ_SZ]]&lt;UIoptions!$T$15),1,0),1)</f>
        <v>0</v>
      </c>
      <c r="BH44" s="38">
        <f>IF(UIoptions!$N$35=2,IF(AND(PCdb[[#This Row],[ROUND_D]]&gt;UIoptions!$S$15,PCdb[[#This Row],[ROUND_D]]&lt;UIoptions!$T$15),1,0),1)</f>
        <v>1</v>
      </c>
      <c r="BI44" s="38">
        <f>IF(UIoptions!$N$75&lt;&gt;1,1,IF(AND(PCdb[[#This Row],[FL]]&gt;UIoptions!$S$16,PCdb[[#This Row],[FL]]&lt;UIoptions!$T$16),1,0))</f>
        <v>0</v>
      </c>
      <c r="BJ44" s="38" t="e">
        <f>IF(OR(UIoptions!$Q$18=PCdb[[#This Row],[THRU_SCREW]],UIoptions!$Q$18="NA"),1,0)</f>
        <v>#N/A</v>
      </c>
      <c r="BK44" s="38">
        <f>IF(OR(UIoptions!$P$19=PCdb[[#This Row],[THREAD_SZ]],UIoptions!$P$19="NA"),1,0)</f>
        <v>1</v>
      </c>
      <c r="BL44" s="38">
        <f>IF(UIoptions!$N$75=1,1,IF(AND(PCdb[[#This Row],[THREAD_L]]&gt;UIoptions!$S$17,PCdb[[#This Row],[THREAD_L]]&lt;UIoptions!$T$17),1,0))</f>
        <v>1</v>
      </c>
      <c r="BM44" s="38" t="e">
        <f>IF(SUM(PCdb[[#This Row],[BDhit]:[THREAD_Lhit]])=11,1,0)</f>
        <v>#N/A</v>
      </c>
      <c r="BN4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66.838.146.3520.557.4NA4.6M4NANA4</v>
      </c>
      <c r="BO44" s="38" t="e">
        <f>SUM(PCdb[[#This Row],[BDhit]:[THREAD_Lhit]])</f>
        <v>#N/A</v>
      </c>
    </row>
    <row r="45" spans="1:67" x14ac:dyDescent="0.25">
      <c r="A45" s="7">
        <v>42</v>
      </c>
      <c r="B45" s="93">
        <v>46</v>
      </c>
      <c r="C45" s="93">
        <v>30</v>
      </c>
      <c r="D45" s="93">
        <v>4</v>
      </c>
      <c r="E45" s="93">
        <v>8</v>
      </c>
      <c r="F45" s="93">
        <v>25</v>
      </c>
      <c r="G45" s="93">
        <v>40</v>
      </c>
      <c r="H45" s="93" t="s">
        <v>87</v>
      </c>
      <c r="I45" s="93">
        <v>5</v>
      </c>
      <c r="J45" s="93" t="s">
        <v>7</v>
      </c>
      <c r="K45" s="93" t="s">
        <v>87</v>
      </c>
      <c r="L45" s="93" t="s">
        <v>87</v>
      </c>
      <c r="M45" s="93">
        <v>4</v>
      </c>
      <c r="N45" s="38" t="s">
        <v>7</v>
      </c>
      <c r="O45" s="38">
        <v>38.700000000000003</v>
      </c>
      <c r="P45" s="38">
        <v>0</v>
      </c>
      <c r="Q45" s="38" t="s">
        <v>613</v>
      </c>
      <c r="R45" s="38" t="s">
        <v>130</v>
      </c>
      <c r="S45" s="38" t="s">
        <v>171</v>
      </c>
      <c r="T45" s="38">
        <v>45</v>
      </c>
      <c r="U45" s="38">
        <v>90</v>
      </c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>
        <v>18</v>
      </c>
      <c r="AK45" s="38">
        <v>0</v>
      </c>
      <c r="AL45" s="38" t="s">
        <v>130</v>
      </c>
      <c r="AM45" s="38" t="s">
        <v>176</v>
      </c>
      <c r="AN45" s="38">
        <v>45</v>
      </c>
      <c r="AO45" s="38">
        <v>90</v>
      </c>
      <c r="AP45" s="38">
        <v>17.5</v>
      </c>
      <c r="AQ45" s="38" t="s">
        <v>87</v>
      </c>
      <c r="AR45" s="38" t="s">
        <v>130</v>
      </c>
      <c r="AS45" s="38" t="s">
        <v>176</v>
      </c>
      <c r="AT45" s="38">
        <v>45</v>
      </c>
      <c r="AU45" s="38">
        <v>90</v>
      </c>
      <c r="AV45" s="38"/>
      <c r="AW45" s="38"/>
      <c r="AX45" s="38"/>
      <c r="AY45" s="38"/>
      <c r="AZ45" s="38"/>
      <c r="BA45" s="38"/>
      <c r="BB45" s="38">
        <f>IF(AND(PCdb[[#This Row],[BCD]]&gt;UIoptions!$S$10,PCdb[[#This Row],[BCD]]&lt;UIoptions!$T$10),1,0)</f>
        <v>0</v>
      </c>
      <c r="BC45" s="38">
        <f>IF(AND(PCdb[[#This Row],[PD]]&gt;UIoptions!$S$11,PCdb[[#This Row],[PD]]&lt;UIoptions!$T$11),1,0)</f>
        <v>0</v>
      </c>
      <c r="BD45" s="38">
        <f>IF(AND(UIoptions!$P$14&lt;=PCdb[[#This Row],[PL (MAX)]],UIoptions!$P$14&gt;UIoptions!$S$14),1,0)</f>
        <v>1</v>
      </c>
      <c r="BE45" s="38">
        <f>IF(AND(PCdb[[#This Row],[SD]]&gt;UIoptions!$S$12,PCdb[[#This Row],[SD]]&lt;UIoptions!$T$12),1,0)</f>
        <v>0</v>
      </c>
      <c r="BF45" s="38">
        <f>IF(AND(PCdb[[#This Row],[SL]]&gt;UIoptions!$S$13,PCdb[[#This Row],[SL]]&lt;UIoptions!$T$13),1,0)</f>
        <v>0</v>
      </c>
      <c r="BG45" s="38">
        <f>IF(UIoptions!$N$35=1,IF(AND(PCdb[[#This Row],[SQ_SZ]]&gt;UIoptions!$S$15,PCdb[[#This Row],[SQ_SZ]]&lt;UIoptions!$T$15),1,0),1)</f>
        <v>0</v>
      </c>
      <c r="BH45" s="38">
        <f>IF(UIoptions!$N$35=2,IF(AND(PCdb[[#This Row],[ROUND_D]]&gt;UIoptions!$S$15,PCdb[[#This Row],[ROUND_D]]&lt;UIoptions!$T$15),1,0),1)</f>
        <v>1</v>
      </c>
      <c r="BI45" s="38">
        <f>IF(UIoptions!$N$75&lt;&gt;1,1,IF(AND(PCdb[[#This Row],[FL]]&gt;UIoptions!$S$16,PCdb[[#This Row],[FL]]&lt;UIoptions!$T$16),1,0))</f>
        <v>0</v>
      </c>
      <c r="BJ45" s="38" t="e">
        <f>IF(OR(UIoptions!$Q$18=PCdb[[#This Row],[THRU_SCREW]],UIoptions!$Q$18="NA"),1,0)</f>
        <v>#N/A</v>
      </c>
      <c r="BK45" s="38">
        <f>IF(OR(UIoptions!$P$19=PCdb[[#This Row],[THREAD_SZ]],UIoptions!$P$19="NA"),1,0)</f>
        <v>1</v>
      </c>
      <c r="BL45" s="38">
        <f>IF(UIoptions!$N$75=1,1,IF(AND(PCdb[[#This Row],[THREAD_L]]&gt;UIoptions!$S$17,PCdb[[#This Row],[THREAD_L]]&lt;UIoptions!$T$17),1,0))</f>
        <v>1</v>
      </c>
      <c r="BM45" s="38" t="e">
        <f>IF(SUM(PCdb[[#This Row],[BDhit]:[THREAD_Lhit]])=11,1,0)</f>
        <v>#N/A</v>
      </c>
      <c r="BN4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4630482540NA5M4NANA4</v>
      </c>
      <c r="BO45" s="38" t="e">
        <f>SUM(PCdb[[#This Row],[BDhit]:[THREAD_Lhit]])</f>
        <v>#N/A</v>
      </c>
    </row>
    <row r="46" spans="1:67" x14ac:dyDescent="0.25">
      <c r="A46" s="7">
        <v>43</v>
      </c>
      <c r="B46" s="93">
        <v>70</v>
      </c>
      <c r="C46" s="93">
        <v>50</v>
      </c>
      <c r="D46" s="93">
        <v>4</v>
      </c>
      <c r="E46" s="93">
        <v>14</v>
      </c>
      <c r="F46" s="93">
        <v>30</v>
      </c>
      <c r="G46" s="93">
        <v>60</v>
      </c>
      <c r="H46" s="93" t="s">
        <v>87</v>
      </c>
      <c r="I46" s="93">
        <v>7</v>
      </c>
      <c r="J46" s="93" t="s">
        <v>45</v>
      </c>
      <c r="K46" s="93" t="s">
        <v>87</v>
      </c>
      <c r="L46" s="93" t="s">
        <v>87</v>
      </c>
      <c r="M46" s="93">
        <v>4</v>
      </c>
      <c r="N46" s="38" t="s">
        <v>45</v>
      </c>
      <c r="O46" s="38"/>
      <c r="P46" s="38"/>
      <c r="Q46" s="38"/>
      <c r="R46" s="38"/>
      <c r="S46" s="38"/>
      <c r="T46" s="38"/>
      <c r="U46" s="38"/>
      <c r="V46" s="38">
        <v>45.2</v>
      </c>
      <c r="W46" s="38">
        <v>28</v>
      </c>
      <c r="X46" s="38">
        <v>0</v>
      </c>
      <c r="Y46" s="38" t="s">
        <v>130</v>
      </c>
      <c r="Z46" s="38" t="s">
        <v>172</v>
      </c>
      <c r="AA46" s="38">
        <v>45</v>
      </c>
      <c r="AB46" s="38">
        <v>90</v>
      </c>
      <c r="AC46" s="25">
        <v>48.7</v>
      </c>
      <c r="AD46" s="38" t="s">
        <v>87</v>
      </c>
      <c r="AE46" s="38">
        <v>55</v>
      </c>
      <c r="AF46" s="38" t="s">
        <v>130</v>
      </c>
      <c r="AG46" s="38" t="s">
        <v>171</v>
      </c>
      <c r="AH46" s="38">
        <v>45</v>
      </c>
      <c r="AI46" s="38">
        <v>90</v>
      </c>
      <c r="AJ46" s="38"/>
      <c r="AK46" s="38"/>
      <c r="AL46" s="38"/>
      <c r="AM46" s="38"/>
      <c r="AN46" s="38"/>
      <c r="AO46" s="38"/>
      <c r="AP46" s="38">
        <v>27</v>
      </c>
      <c r="AQ46" s="38">
        <v>0</v>
      </c>
      <c r="AR46" s="38" t="s">
        <v>130</v>
      </c>
      <c r="AS46" s="38" t="s">
        <v>176</v>
      </c>
      <c r="AT46" s="38">
        <v>45</v>
      </c>
      <c r="AU46" s="38">
        <v>90</v>
      </c>
      <c r="AV46" s="38">
        <v>27</v>
      </c>
      <c r="AW46" s="38">
        <v>0</v>
      </c>
      <c r="AX46" s="38" t="s">
        <v>130</v>
      </c>
      <c r="AY46" s="38" t="s">
        <v>176</v>
      </c>
      <c r="AZ46" s="38">
        <v>45</v>
      </c>
      <c r="BA46" s="38">
        <v>90</v>
      </c>
      <c r="BB46" s="38">
        <f>IF(AND(PCdb[[#This Row],[BCD]]&gt;UIoptions!$S$10,PCdb[[#This Row],[BCD]]&lt;UIoptions!$T$10),1,0)</f>
        <v>0</v>
      </c>
      <c r="BC46" s="38">
        <f>IF(AND(PCdb[[#This Row],[PD]]&gt;UIoptions!$S$11,PCdb[[#This Row],[PD]]&lt;UIoptions!$T$11),1,0)</f>
        <v>0</v>
      </c>
      <c r="BD46" s="38">
        <f>IF(AND(UIoptions!$P$14&lt;=PCdb[[#This Row],[PL (MAX)]],UIoptions!$P$14&gt;UIoptions!$S$14),1,0)</f>
        <v>1</v>
      </c>
      <c r="BE46" s="38">
        <f>IF(AND(PCdb[[#This Row],[SD]]&gt;UIoptions!$S$12,PCdb[[#This Row],[SD]]&lt;UIoptions!$T$12),1,0)</f>
        <v>0</v>
      </c>
      <c r="BF46" s="38">
        <f>IF(AND(PCdb[[#This Row],[SL]]&gt;UIoptions!$S$13,PCdb[[#This Row],[SL]]&lt;UIoptions!$T$13),1,0)</f>
        <v>0</v>
      </c>
      <c r="BG46" s="38">
        <f>IF(UIoptions!$N$35=1,IF(AND(PCdb[[#This Row],[SQ_SZ]]&gt;UIoptions!$S$15,PCdb[[#This Row],[SQ_SZ]]&lt;UIoptions!$T$15),1,0),1)</f>
        <v>0</v>
      </c>
      <c r="BH46" s="38">
        <f>IF(UIoptions!$N$35=2,IF(AND(PCdb[[#This Row],[ROUND_D]]&gt;UIoptions!$S$15,PCdb[[#This Row],[ROUND_D]]&lt;UIoptions!$T$15),1,0),1)</f>
        <v>1</v>
      </c>
      <c r="BI46" s="38">
        <f>IF(UIoptions!$N$75&lt;&gt;1,1,IF(AND(PCdb[[#This Row],[FL]]&gt;UIoptions!$S$16,PCdb[[#This Row],[FL]]&lt;UIoptions!$T$16),1,0))</f>
        <v>0</v>
      </c>
      <c r="BJ46" s="38" t="e">
        <f>IF(OR(UIoptions!$Q$18=PCdb[[#This Row],[THRU_SCREW]],UIoptions!$Q$18="NA"),1,0)</f>
        <v>#N/A</v>
      </c>
      <c r="BK46" s="38">
        <f>IF(OR(UIoptions!$P$19=PCdb[[#This Row],[THREAD_SZ]],UIoptions!$P$19="NA"),1,0)</f>
        <v>1</v>
      </c>
      <c r="BL46" s="38">
        <f>IF(UIoptions!$N$75=1,1,IF(AND(PCdb[[#This Row],[THREAD_L]]&gt;UIoptions!$S$17,PCdb[[#This Row],[THREAD_L]]&lt;UIoptions!$T$17),1,0))</f>
        <v>1</v>
      </c>
      <c r="BM46" s="38" t="e">
        <f>IF(SUM(PCdb[[#This Row],[BDhit]:[THREAD_Lhit]])=11,1,0)</f>
        <v>#N/A</v>
      </c>
      <c r="BN4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70504143060NA7M5NANA4</v>
      </c>
      <c r="BO46" s="38" t="e">
        <f>SUM(PCdb[[#This Row],[BDhit]:[THREAD_Lhit]])</f>
        <v>#N/A</v>
      </c>
    </row>
    <row r="47" spans="1:67" x14ac:dyDescent="0.25">
      <c r="A47" s="7">
        <v>44</v>
      </c>
      <c r="B47" s="93">
        <v>75</v>
      </c>
      <c r="C47" s="93">
        <v>60</v>
      </c>
      <c r="D47" s="93">
        <v>4</v>
      </c>
      <c r="E47" s="93">
        <v>11</v>
      </c>
      <c r="F47" s="93">
        <v>23</v>
      </c>
      <c r="G47" s="93">
        <v>70</v>
      </c>
      <c r="H47" s="93" t="s">
        <v>87</v>
      </c>
      <c r="I47" s="93">
        <v>9</v>
      </c>
      <c r="J47" s="93" t="s">
        <v>45</v>
      </c>
      <c r="K47" s="93" t="s">
        <v>87</v>
      </c>
      <c r="L47" s="93" t="s">
        <v>87</v>
      </c>
      <c r="M47" s="93">
        <v>4</v>
      </c>
      <c r="N47" s="38" t="s">
        <v>45</v>
      </c>
      <c r="O47" s="38" t="s">
        <v>87</v>
      </c>
      <c r="P47" s="38" t="s">
        <v>87</v>
      </c>
      <c r="Q47" s="38" t="s">
        <v>87</v>
      </c>
      <c r="R47" s="38" t="s">
        <v>87</v>
      </c>
      <c r="S47" s="38" t="s">
        <v>87</v>
      </c>
      <c r="T47" s="38" t="s">
        <v>87</v>
      </c>
      <c r="U47" s="38" t="s">
        <v>87</v>
      </c>
      <c r="V47" s="38">
        <v>45.2</v>
      </c>
      <c r="W47" s="38">
        <v>32</v>
      </c>
      <c r="X47" s="38" t="s">
        <v>87</v>
      </c>
      <c r="Y47" s="38" t="s">
        <v>130</v>
      </c>
      <c r="Z47" s="38" t="s">
        <v>172</v>
      </c>
      <c r="AA47" s="38">
        <v>45</v>
      </c>
      <c r="AB47" s="38">
        <v>90</v>
      </c>
      <c r="AC47" s="38"/>
      <c r="AD47" s="38"/>
      <c r="AE47" s="38"/>
      <c r="AF47" s="38"/>
      <c r="AG47" s="38"/>
      <c r="AH47" s="38"/>
      <c r="AI47" s="38"/>
      <c r="AJ47" s="38" t="s">
        <v>87</v>
      </c>
      <c r="AK47" s="38" t="s">
        <v>87</v>
      </c>
      <c r="AL47" s="38" t="s">
        <v>87</v>
      </c>
      <c r="AM47" s="38" t="s">
        <v>87</v>
      </c>
      <c r="AN47" s="38" t="s">
        <v>87</v>
      </c>
      <c r="AO47" s="38" t="s">
        <v>87</v>
      </c>
      <c r="AP47" s="38">
        <v>32</v>
      </c>
      <c r="AQ47" s="38" t="s">
        <v>87</v>
      </c>
      <c r="AR47" s="38" t="s">
        <v>130</v>
      </c>
      <c r="AS47" s="38" t="s">
        <v>177</v>
      </c>
      <c r="AT47" s="38">
        <v>45</v>
      </c>
      <c r="AU47" s="38">
        <v>90</v>
      </c>
      <c r="AV47" s="38">
        <v>32</v>
      </c>
      <c r="AW47" s="38">
        <v>0</v>
      </c>
      <c r="AX47" s="38" t="s">
        <v>130</v>
      </c>
      <c r="AY47" s="38" t="s">
        <v>176</v>
      </c>
      <c r="AZ47" s="38">
        <v>45</v>
      </c>
      <c r="BA47" s="38">
        <v>90</v>
      </c>
      <c r="BB47" s="38">
        <f>IF(AND(PCdb[[#This Row],[BCD]]&gt;UIoptions!$S$10,PCdb[[#This Row],[BCD]]&lt;UIoptions!$T$10),1,0)</f>
        <v>1</v>
      </c>
      <c r="BC47" s="38">
        <f>IF(AND(PCdb[[#This Row],[PD]]&gt;UIoptions!$S$11,PCdb[[#This Row],[PD]]&lt;UIoptions!$T$11),1,0)</f>
        <v>1</v>
      </c>
      <c r="BD47" s="38">
        <f>IF(AND(UIoptions!$P$14&lt;=PCdb[[#This Row],[PL (MAX)]],UIoptions!$P$14&gt;UIoptions!$S$14),1,0)</f>
        <v>1</v>
      </c>
      <c r="BE47" s="38">
        <f>IF(AND(PCdb[[#This Row],[SD]]&gt;UIoptions!$S$12,PCdb[[#This Row],[SD]]&lt;UIoptions!$T$12),1,0)</f>
        <v>1</v>
      </c>
      <c r="BF47" s="38">
        <f>IF(AND(PCdb[[#This Row],[SL]]&gt;UIoptions!$S$13,PCdb[[#This Row],[SL]]&lt;UIoptions!$T$13),1,0)</f>
        <v>1</v>
      </c>
      <c r="BG47" s="38">
        <f>IF(UIoptions!$N$35=1,IF(AND(PCdb[[#This Row],[SQ_SZ]]&gt;UIoptions!$S$15,PCdb[[#This Row],[SQ_SZ]]&lt;UIoptions!$T$15),1,0),1)</f>
        <v>1</v>
      </c>
      <c r="BH47" s="38">
        <f>IF(UIoptions!$N$35=2,IF(AND(PCdb[[#This Row],[ROUND_D]]&gt;UIoptions!$S$15,PCdb[[#This Row],[ROUND_D]]&lt;UIoptions!$T$15),1,0),1)</f>
        <v>1</v>
      </c>
      <c r="BI47" s="38">
        <f>IF(UIoptions!$N$75&lt;&gt;1,1,IF(AND(PCdb[[#This Row],[FL]]&gt;UIoptions!$S$16,PCdb[[#This Row],[FL]]&lt;UIoptions!$T$16),1,0))</f>
        <v>0</v>
      </c>
      <c r="BJ47" s="38" t="e">
        <f>IF(OR(UIoptions!$Q$18=PCdb[[#This Row],[THRU_SCREW]],UIoptions!$Q$18="NA"),1,0)</f>
        <v>#N/A</v>
      </c>
      <c r="BK47" s="38">
        <f>IF(OR(UIoptions!$P$19=PCdb[[#This Row],[THREAD_SZ]],UIoptions!$P$19="NA"),1,0)</f>
        <v>1</v>
      </c>
      <c r="BL47" s="38">
        <f>IF(UIoptions!$N$75=1,1,IF(AND(PCdb[[#This Row],[THREAD_L]]&gt;UIoptions!$S$17,PCdb[[#This Row],[THREAD_L]]&lt;UIoptions!$T$17),1,0))</f>
        <v>1</v>
      </c>
      <c r="BM47" s="38" t="e">
        <f>IF(SUM(PCdb[[#This Row],[BDhit]:[THREAD_Lhit]])=11,1,0)</f>
        <v>#N/A</v>
      </c>
      <c r="BN4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75604112370NA9M5NANA4</v>
      </c>
      <c r="BO47" s="38" t="e">
        <f>SUM(PCdb[[#This Row],[BDhit]:[THREAD_Lhit]])</f>
        <v>#N/A</v>
      </c>
    </row>
    <row r="48" spans="1:67" x14ac:dyDescent="0.25">
      <c r="A48" s="7">
        <v>45</v>
      </c>
      <c r="B48" s="93">
        <v>45</v>
      </c>
      <c r="C48" s="93">
        <v>30</v>
      </c>
      <c r="D48" s="93">
        <v>4</v>
      </c>
      <c r="E48" s="93">
        <v>8</v>
      </c>
      <c r="F48" s="93">
        <v>25</v>
      </c>
      <c r="G48" s="93">
        <v>38</v>
      </c>
      <c r="H48" s="93" t="s">
        <v>87</v>
      </c>
      <c r="I48" s="93">
        <v>6</v>
      </c>
      <c r="J48" s="93" t="s">
        <v>105</v>
      </c>
      <c r="K48" s="93" t="s">
        <v>87</v>
      </c>
      <c r="L48" s="93" t="s">
        <v>87</v>
      </c>
      <c r="M48" s="93">
        <v>4</v>
      </c>
      <c r="N48" s="38" t="s">
        <v>105</v>
      </c>
      <c r="O48" s="25">
        <v>38.700000000000003</v>
      </c>
      <c r="P48" s="38">
        <v>2</v>
      </c>
      <c r="Q48" s="38" t="s">
        <v>613</v>
      </c>
      <c r="R48" s="38" t="s">
        <v>130</v>
      </c>
      <c r="S48" s="38" t="s">
        <v>171</v>
      </c>
      <c r="T48" s="38">
        <v>45</v>
      </c>
      <c r="U48" s="38">
        <v>90</v>
      </c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>
        <v>16.5</v>
      </c>
      <c r="AK48" s="38" t="s">
        <v>87</v>
      </c>
      <c r="AL48" s="38" t="s">
        <v>130</v>
      </c>
      <c r="AM48" s="38" t="s">
        <v>176</v>
      </c>
      <c r="AN48" s="38">
        <v>45</v>
      </c>
      <c r="AO48" s="38">
        <v>90</v>
      </c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>
        <f>IF(AND(PCdb[[#This Row],[BCD]]&gt;UIoptions!$S$10,PCdb[[#This Row],[BCD]]&lt;UIoptions!$T$10),1,0)</f>
        <v>0</v>
      </c>
      <c r="BC48" s="38">
        <f>IF(AND(PCdb[[#This Row],[PD]]&gt;UIoptions!$S$11,PCdb[[#This Row],[PD]]&lt;UIoptions!$T$11),1,0)</f>
        <v>0</v>
      </c>
      <c r="BD48" s="38">
        <f>IF(AND(UIoptions!$P$14&lt;=PCdb[[#This Row],[PL (MAX)]],UIoptions!$P$14&gt;UIoptions!$S$14),1,0)</f>
        <v>1</v>
      </c>
      <c r="BE48" s="38">
        <f>IF(AND(PCdb[[#This Row],[SD]]&gt;UIoptions!$S$12,PCdb[[#This Row],[SD]]&lt;UIoptions!$T$12),1,0)</f>
        <v>0</v>
      </c>
      <c r="BF48" s="38">
        <f>IF(AND(PCdb[[#This Row],[SL]]&gt;UIoptions!$S$13,PCdb[[#This Row],[SL]]&lt;UIoptions!$T$13),1,0)</f>
        <v>0</v>
      </c>
      <c r="BG48" s="38">
        <f>IF(UIoptions!$N$35=1,IF(AND(PCdb[[#This Row],[SQ_SZ]]&gt;UIoptions!$S$15,PCdb[[#This Row],[SQ_SZ]]&lt;UIoptions!$T$15),1,0),1)</f>
        <v>0</v>
      </c>
      <c r="BH48" s="38">
        <f>IF(UIoptions!$N$35=2,IF(AND(PCdb[[#This Row],[ROUND_D]]&gt;UIoptions!$S$15,PCdb[[#This Row],[ROUND_D]]&lt;UIoptions!$T$15),1,0),1)</f>
        <v>1</v>
      </c>
      <c r="BI48" s="38">
        <f>IF(UIoptions!$N$75&lt;&gt;1,1,IF(AND(PCdb[[#This Row],[FL]]&gt;UIoptions!$S$16,PCdb[[#This Row],[FL]]&lt;UIoptions!$T$16),1,0))</f>
        <v>0</v>
      </c>
      <c r="BJ48" s="38" t="e">
        <f>IF(OR(UIoptions!$Q$18=PCdb[[#This Row],[THRU_SCREW]],UIoptions!$Q$18="NA"),1,0)</f>
        <v>#N/A</v>
      </c>
      <c r="BK48" s="38">
        <f>IF(OR(UIoptions!$P$19=PCdb[[#This Row],[THREAD_SZ]],UIoptions!$P$19="NA"),1,0)</f>
        <v>1</v>
      </c>
      <c r="BL48" s="38">
        <f>IF(UIoptions!$N$75=1,1,IF(AND(PCdb[[#This Row],[THREAD_L]]&gt;UIoptions!$S$17,PCdb[[#This Row],[THREAD_L]]&lt;UIoptions!$T$17),1,0))</f>
        <v>1</v>
      </c>
      <c r="BM48" s="38" t="e">
        <f>IF(SUM(PCdb[[#This Row],[BDhit]:[THREAD_Lhit]])=11,1,0)</f>
        <v>#N/A</v>
      </c>
      <c r="BN4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4530482538NA6M3NANA4</v>
      </c>
      <c r="BO48" s="38" t="e">
        <f>SUM(PCdb[[#This Row],[BDhit]:[THREAD_Lhit]])</f>
        <v>#N/A</v>
      </c>
    </row>
    <row r="49" spans="1:67" x14ac:dyDescent="0.25">
      <c r="A49" s="7">
        <v>46</v>
      </c>
      <c r="B49" s="93">
        <v>70</v>
      </c>
      <c r="C49" s="93">
        <v>50</v>
      </c>
      <c r="D49" s="93">
        <v>4</v>
      </c>
      <c r="E49" s="93">
        <v>11</v>
      </c>
      <c r="F49" s="93">
        <v>30</v>
      </c>
      <c r="G49" s="93">
        <v>60</v>
      </c>
      <c r="H49" s="93" t="s">
        <v>87</v>
      </c>
      <c r="I49" s="93">
        <v>6.5</v>
      </c>
      <c r="J49" s="93" t="s">
        <v>7</v>
      </c>
      <c r="K49" s="93" t="s">
        <v>87</v>
      </c>
      <c r="L49" s="93" t="s">
        <v>87</v>
      </c>
      <c r="M49" s="93">
        <v>4</v>
      </c>
      <c r="N49" s="38" t="s">
        <v>7</v>
      </c>
      <c r="O49" s="38">
        <v>38.700000000000003</v>
      </c>
      <c r="P49" s="38">
        <v>27</v>
      </c>
      <c r="Q49" s="38">
        <v>0</v>
      </c>
      <c r="R49" s="38" t="s">
        <v>130</v>
      </c>
      <c r="S49" s="38" t="s">
        <v>172</v>
      </c>
      <c r="T49" s="38">
        <v>45</v>
      </c>
      <c r="U49" s="38">
        <v>90</v>
      </c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>
        <v>27</v>
      </c>
      <c r="AQ49" s="38" t="s">
        <v>87</v>
      </c>
      <c r="AR49" s="38" t="s">
        <v>130</v>
      </c>
      <c r="AS49" s="38" t="s">
        <v>176</v>
      </c>
      <c r="AT49" s="38">
        <v>45</v>
      </c>
      <c r="AU49" s="38">
        <v>90</v>
      </c>
      <c r="AV49" s="38"/>
      <c r="AW49" s="38"/>
      <c r="AX49" s="38"/>
      <c r="AY49" s="38"/>
      <c r="AZ49" s="38"/>
      <c r="BA49" s="38"/>
      <c r="BB49" s="38">
        <f>IF(AND(PCdb[[#This Row],[BCD]]&gt;UIoptions!$S$10,PCdb[[#This Row],[BCD]]&lt;UIoptions!$T$10),1,0)</f>
        <v>0</v>
      </c>
      <c r="BC49" s="38">
        <f>IF(AND(PCdb[[#This Row],[PD]]&gt;UIoptions!$S$11,PCdb[[#This Row],[PD]]&lt;UIoptions!$T$11),1,0)</f>
        <v>0</v>
      </c>
      <c r="BD49" s="38">
        <f>IF(AND(UIoptions!$P$14&lt;=PCdb[[#This Row],[PL (MAX)]],UIoptions!$P$14&gt;UIoptions!$S$14),1,0)</f>
        <v>1</v>
      </c>
      <c r="BE49" s="38">
        <f>IF(AND(PCdb[[#This Row],[SD]]&gt;UIoptions!$S$12,PCdb[[#This Row],[SD]]&lt;UIoptions!$T$12),1,0)</f>
        <v>1</v>
      </c>
      <c r="BF49" s="38">
        <f>IF(AND(PCdb[[#This Row],[SL]]&gt;UIoptions!$S$13,PCdb[[#This Row],[SL]]&lt;UIoptions!$T$13),1,0)</f>
        <v>0</v>
      </c>
      <c r="BG49" s="38">
        <f>IF(UIoptions!$N$35=1,IF(AND(PCdb[[#This Row],[SQ_SZ]]&gt;UIoptions!$S$15,PCdb[[#This Row],[SQ_SZ]]&lt;UIoptions!$T$15),1,0),1)</f>
        <v>0</v>
      </c>
      <c r="BH49" s="38">
        <f>IF(UIoptions!$N$35=2,IF(AND(PCdb[[#This Row],[ROUND_D]]&gt;UIoptions!$S$15,PCdb[[#This Row],[ROUND_D]]&lt;UIoptions!$T$15),1,0),1)</f>
        <v>1</v>
      </c>
      <c r="BI49" s="38">
        <f>IF(UIoptions!$N$75&lt;&gt;1,1,IF(AND(PCdb[[#This Row],[FL]]&gt;UIoptions!$S$16,PCdb[[#This Row],[FL]]&lt;UIoptions!$T$16),1,0))</f>
        <v>0</v>
      </c>
      <c r="BJ49" s="38" t="e">
        <f>IF(OR(UIoptions!$Q$18=PCdb[[#This Row],[THRU_SCREW]],UIoptions!$Q$18="NA"),1,0)</f>
        <v>#N/A</v>
      </c>
      <c r="BK49" s="38">
        <f>IF(OR(UIoptions!$P$19=PCdb[[#This Row],[THREAD_SZ]],UIoptions!$P$19="NA"),1,0)</f>
        <v>1</v>
      </c>
      <c r="BL49" s="38">
        <f>IF(UIoptions!$N$75=1,1,IF(AND(PCdb[[#This Row],[THREAD_L]]&gt;UIoptions!$S$17,PCdb[[#This Row],[THREAD_L]]&lt;UIoptions!$T$17),1,0))</f>
        <v>1</v>
      </c>
      <c r="BM49" s="38" t="e">
        <f>IF(SUM(PCdb[[#This Row],[BDhit]:[THREAD_Lhit]])=11,1,0)</f>
        <v>#N/A</v>
      </c>
      <c r="BN4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70504113060NA6.5M4NANA4</v>
      </c>
      <c r="BO49" s="38" t="e">
        <f>SUM(PCdb[[#This Row],[BDhit]:[THREAD_Lhit]])</f>
        <v>#N/A</v>
      </c>
    </row>
    <row r="50" spans="1:67" x14ac:dyDescent="0.25">
      <c r="A50" s="7">
        <v>47</v>
      </c>
      <c r="B50" s="93">
        <v>70</v>
      </c>
      <c r="C50" s="93">
        <v>50</v>
      </c>
      <c r="D50" s="93">
        <v>4</v>
      </c>
      <c r="E50" s="93">
        <v>14</v>
      </c>
      <c r="F50" s="93">
        <v>30</v>
      </c>
      <c r="G50" s="93">
        <v>60</v>
      </c>
      <c r="H50" s="93" t="s">
        <v>87</v>
      </c>
      <c r="I50" s="93">
        <v>6.5</v>
      </c>
      <c r="J50" s="93" t="s">
        <v>7</v>
      </c>
      <c r="K50" s="93" t="s">
        <v>87</v>
      </c>
      <c r="L50" s="93" t="s">
        <v>87</v>
      </c>
      <c r="M50" s="93">
        <v>4</v>
      </c>
      <c r="N50" s="38" t="s">
        <v>7</v>
      </c>
      <c r="O50" s="38"/>
      <c r="P50" s="38"/>
      <c r="Q50" s="38"/>
      <c r="R50" s="38"/>
      <c r="S50" s="38"/>
      <c r="T50" s="38"/>
      <c r="U50" s="38"/>
      <c r="V50" s="25">
        <v>45.2</v>
      </c>
      <c r="W50" s="38">
        <v>27</v>
      </c>
      <c r="X50" s="38" t="s">
        <v>87</v>
      </c>
      <c r="Y50" s="38" t="s">
        <v>130</v>
      </c>
      <c r="Z50" s="38" t="s">
        <v>172</v>
      </c>
      <c r="AA50" s="38">
        <v>45</v>
      </c>
      <c r="AB50" s="38">
        <v>90</v>
      </c>
      <c r="AC50" s="25">
        <v>48.7</v>
      </c>
      <c r="AD50" s="38">
        <v>2.5</v>
      </c>
      <c r="AE50" s="38">
        <v>50</v>
      </c>
      <c r="AF50" s="38" t="s">
        <v>130</v>
      </c>
      <c r="AG50" s="38" t="s">
        <v>171</v>
      </c>
      <c r="AH50" s="38">
        <v>45</v>
      </c>
      <c r="AI50" s="38">
        <v>90</v>
      </c>
      <c r="AJ50" s="38">
        <v>27</v>
      </c>
      <c r="AK50" s="38" t="s">
        <v>87</v>
      </c>
      <c r="AL50" s="38" t="s">
        <v>130</v>
      </c>
      <c r="AM50" s="38" t="s">
        <v>177</v>
      </c>
      <c r="AN50" s="38">
        <v>45</v>
      </c>
      <c r="AO50" s="38">
        <v>90</v>
      </c>
      <c r="AP50" s="38">
        <v>27</v>
      </c>
      <c r="AQ50" s="38" t="s">
        <v>87</v>
      </c>
      <c r="AR50" s="38" t="s">
        <v>130</v>
      </c>
      <c r="AS50" s="38" t="s">
        <v>176</v>
      </c>
      <c r="AT50" s="38">
        <v>45</v>
      </c>
      <c r="AU50" s="38">
        <v>90</v>
      </c>
      <c r="AV50" s="38">
        <v>28</v>
      </c>
      <c r="AW50" s="38">
        <v>0</v>
      </c>
      <c r="AX50" s="38" t="s">
        <v>130</v>
      </c>
      <c r="AY50" s="38" t="s">
        <v>176</v>
      </c>
      <c r="AZ50" s="38">
        <v>45</v>
      </c>
      <c r="BA50" s="38">
        <v>90</v>
      </c>
      <c r="BB50" s="38">
        <f>IF(AND(PCdb[[#This Row],[BCD]]&gt;UIoptions!$S$10,PCdb[[#This Row],[BCD]]&lt;UIoptions!$T$10),1,0)</f>
        <v>0</v>
      </c>
      <c r="BC50" s="38">
        <f>IF(AND(PCdb[[#This Row],[PD]]&gt;UIoptions!$S$11,PCdb[[#This Row],[PD]]&lt;UIoptions!$T$11),1,0)</f>
        <v>0</v>
      </c>
      <c r="BD50" s="38">
        <f>IF(AND(UIoptions!$P$14&lt;=PCdb[[#This Row],[PL (MAX)]],UIoptions!$P$14&gt;UIoptions!$S$14),1,0)</f>
        <v>1</v>
      </c>
      <c r="BE50" s="38">
        <f>IF(AND(PCdb[[#This Row],[SD]]&gt;UIoptions!$S$12,PCdb[[#This Row],[SD]]&lt;UIoptions!$T$12),1,0)</f>
        <v>0</v>
      </c>
      <c r="BF50" s="38">
        <f>IF(AND(PCdb[[#This Row],[SL]]&gt;UIoptions!$S$13,PCdb[[#This Row],[SL]]&lt;UIoptions!$T$13),1,0)</f>
        <v>0</v>
      </c>
      <c r="BG50" s="38">
        <f>IF(UIoptions!$N$35=1,IF(AND(PCdb[[#This Row],[SQ_SZ]]&gt;UIoptions!$S$15,PCdb[[#This Row],[SQ_SZ]]&lt;UIoptions!$T$15),1,0),1)</f>
        <v>0</v>
      </c>
      <c r="BH50" s="38">
        <f>IF(UIoptions!$N$35=2,IF(AND(PCdb[[#This Row],[ROUND_D]]&gt;UIoptions!$S$15,PCdb[[#This Row],[ROUND_D]]&lt;UIoptions!$T$15),1,0),1)</f>
        <v>1</v>
      </c>
      <c r="BI50" s="38">
        <f>IF(UIoptions!$N$75&lt;&gt;1,1,IF(AND(PCdb[[#This Row],[FL]]&gt;UIoptions!$S$16,PCdb[[#This Row],[FL]]&lt;UIoptions!$T$16),1,0))</f>
        <v>0</v>
      </c>
      <c r="BJ50" s="38" t="e">
        <f>IF(OR(UIoptions!$Q$18=PCdb[[#This Row],[THRU_SCREW]],UIoptions!$Q$18="NA"),1,0)</f>
        <v>#N/A</v>
      </c>
      <c r="BK50" s="38">
        <f>IF(OR(UIoptions!$P$19=PCdb[[#This Row],[THREAD_SZ]],UIoptions!$P$19="NA"),1,0)</f>
        <v>1</v>
      </c>
      <c r="BL50" s="38">
        <f>IF(UIoptions!$N$75=1,1,IF(AND(PCdb[[#This Row],[THREAD_L]]&gt;UIoptions!$S$17,PCdb[[#This Row],[THREAD_L]]&lt;UIoptions!$T$17),1,0))</f>
        <v>1</v>
      </c>
      <c r="BM50" s="38" t="e">
        <f>IF(SUM(PCdb[[#This Row],[BDhit]:[THREAD_Lhit]])=11,1,0)</f>
        <v>#N/A</v>
      </c>
      <c r="BN5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70504143060NA6.5M4NANA4</v>
      </c>
      <c r="BO50" s="38" t="e">
        <f>SUM(PCdb[[#This Row],[BDhit]:[THREAD_Lhit]])</f>
        <v>#N/A</v>
      </c>
    </row>
    <row r="51" spans="1:67" x14ac:dyDescent="0.25">
      <c r="A51" s="7">
        <v>48</v>
      </c>
      <c r="B51" s="93">
        <v>100</v>
      </c>
      <c r="C51" s="93">
        <v>80</v>
      </c>
      <c r="D51" s="93">
        <v>4</v>
      </c>
      <c r="E51" s="93">
        <v>16</v>
      </c>
      <c r="F51" s="93">
        <v>40.1</v>
      </c>
      <c r="G51" s="93">
        <v>88.8</v>
      </c>
      <c r="H51" s="93" t="s">
        <v>87</v>
      </c>
      <c r="I51" s="93">
        <v>9.9</v>
      </c>
      <c r="J51" s="93" t="s">
        <v>49</v>
      </c>
      <c r="K51" s="93" t="s">
        <v>87</v>
      </c>
      <c r="L51" s="93" t="s">
        <v>87</v>
      </c>
      <c r="M51" s="93">
        <v>4</v>
      </c>
      <c r="N51" s="38" t="s">
        <v>49</v>
      </c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>
        <f>IF(AND(PCdb[[#This Row],[BCD]]&gt;UIoptions!$S$10,PCdb[[#This Row],[BCD]]&lt;UIoptions!$T$10),1,0)</f>
        <v>0</v>
      </c>
      <c r="BC51" s="38">
        <f>IF(AND(PCdb[[#This Row],[PD]]&gt;UIoptions!$S$11,PCdb[[#This Row],[PD]]&lt;UIoptions!$T$11),1,0)</f>
        <v>0</v>
      </c>
      <c r="BD51" s="38">
        <f>IF(AND(UIoptions!$P$14&lt;=PCdb[[#This Row],[PL (MAX)]],UIoptions!$P$14&gt;UIoptions!$S$14),1,0)</f>
        <v>1</v>
      </c>
      <c r="BE51" s="38">
        <f>IF(AND(PCdb[[#This Row],[SD]]&gt;UIoptions!$S$12,PCdb[[#This Row],[SD]]&lt;UIoptions!$T$12),1,0)</f>
        <v>0</v>
      </c>
      <c r="BF51" s="38">
        <f>IF(AND(PCdb[[#This Row],[SL]]&gt;UIoptions!$S$13,PCdb[[#This Row],[SL]]&lt;UIoptions!$T$13),1,0)</f>
        <v>0</v>
      </c>
      <c r="BG51" s="38">
        <f>IF(UIoptions!$N$35=1,IF(AND(PCdb[[#This Row],[SQ_SZ]]&gt;UIoptions!$S$15,PCdb[[#This Row],[SQ_SZ]]&lt;UIoptions!$T$15),1,0),1)</f>
        <v>0</v>
      </c>
      <c r="BH51" s="38">
        <f>IF(UIoptions!$N$35=2,IF(AND(PCdb[[#This Row],[ROUND_D]]&gt;UIoptions!$S$15,PCdb[[#This Row],[ROUND_D]]&lt;UIoptions!$T$15),1,0),1)</f>
        <v>1</v>
      </c>
      <c r="BI51" s="38">
        <f>IF(UIoptions!$N$75&lt;&gt;1,1,IF(AND(PCdb[[#This Row],[FL]]&gt;UIoptions!$S$16,PCdb[[#This Row],[FL]]&lt;UIoptions!$T$16),1,0))</f>
        <v>0</v>
      </c>
      <c r="BJ51" s="38" t="e">
        <f>IF(OR(UIoptions!$Q$18=PCdb[[#This Row],[THRU_SCREW]],UIoptions!$Q$18="NA"),1,0)</f>
        <v>#N/A</v>
      </c>
      <c r="BK51" s="38">
        <f>IF(OR(UIoptions!$P$19=PCdb[[#This Row],[THREAD_SZ]],UIoptions!$P$19="NA"),1,0)</f>
        <v>1</v>
      </c>
      <c r="BL51" s="38">
        <f>IF(UIoptions!$N$75=1,1,IF(AND(PCdb[[#This Row],[THREAD_L]]&gt;UIoptions!$S$17,PCdb[[#This Row],[THREAD_L]]&lt;UIoptions!$T$17),1,0))</f>
        <v>1</v>
      </c>
      <c r="BM51" s="38" t="e">
        <f>IF(SUM(PCdb[[#This Row],[BDhit]:[THREAD_Lhit]])=11,1,0)</f>
        <v>#N/A</v>
      </c>
      <c r="BN5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1008041640.188.8NA9.9M6NANA4</v>
      </c>
      <c r="BO51" s="38" t="e">
        <f>SUM(PCdb[[#This Row],[BDhit]:[THREAD_Lhit]])</f>
        <v>#N/A</v>
      </c>
    </row>
    <row r="52" spans="1:67" x14ac:dyDescent="0.25">
      <c r="A52" s="7">
        <v>49</v>
      </c>
      <c r="B52" s="93">
        <v>80</v>
      </c>
      <c r="C52" s="93">
        <v>50</v>
      </c>
      <c r="D52" s="93">
        <v>4</v>
      </c>
      <c r="E52" s="93">
        <v>8</v>
      </c>
      <c r="F52" s="93">
        <v>30</v>
      </c>
      <c r="G52" s="93">
        <v>66</v>
      </c>
      <c r="H52" s="93" t="s">
        <v>87</v>
      </c>
      <c r="I52" s="93">
        <v>10.199999999999999</v>
      </c>
      <c r="J52" s="93" t="s">
        <v>7</v>
      </c>
      <c r="K52" s="93" t="s">
        <v>87</v>
      </c>
      <c r="L52" s="93" t="s">
        <v>87</v>
      </c>
      <c r="M52" s="93">
        <v>4</v>
      </c>
      <c r="N52" s="38" t="s">
        <v>7</v>
      </c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>
        <f>IF(AND(PCdb[[#This Row],[BCD]]&gt;UIoptions!$S$10,PCdb[[#This Row],[BCD]]&lt;UIoptions!$T$10),1,0)</f>
        <v>0</v>
      </c>
      <c r="BC52" s="38">
        <f>IF(AND(PCdb[[#This Row],[PD]]&gt;UIoptions!$S$11,PCdb[[#This Row],[PD]]&lt;UIoptions!$T$11),1,0)</f>
        <v>0</v>
      </c>
      <c r="BD52" s="38">
        <f>IF(AND(UIoptions!$P$14&lt;=PCdb[[#This Row],[PL (MAX)]],UIoptions!$P$14&gt;UIoptions!$S$14),1,0)</f>
        <v>1</v>
      </c>
      <c r="BE52" s="38">
        <f>IF(AND(PCdb[[#This Row],[SD]]&gt;UIoptions!$S$12,PCdb[[#This Row],[SD]]&lt;UIoptions!$T$12),1,0)</f>
        <v>0</v>
      </c>
      <c r="BF52" s="38">
        <f>IF(AND(PCdb[[#This Row],[SL]]&gt;UIoptions!$S$13,PCdb[[#This Row],[SL]]&lt;UIoptions!$T$13),1,0)</f>
        <v>0</v>
      </c>
      <c r="BG52" s="38">
        <f>IF(UIoptions!$N$35=1,IF(AND(PCdb[[#This Row],[SQ_SZ]]&gt;UIoptions!$S$15,PCdb[[#This Row],[SQ_SZ]]&lt;UIoptions!$T$15),1,0),1)</f>
        <v>0</v>
      </c>
      <c r="BH52" s="38">
        <f>IF(UIoptions!$N$35=2,IF(AND(PCdb[[#This Row],[ROUND_D]]&gt;UIoptions!$S$15,PCdb[[#This Row],[ROUND_D]]&lt;UIoptions!$T$15),1,0),1)</f>
        <v>1</v>
      </c>
      <c r="BI52" s="38">
        <f>IF(UIoptions!$N$75&lt;&gt;1,1,IF(AND(PCdb[[#This Row],[FL]]&gt;UIoptions!$S$16,PCdb[[#This Row],[FL]]&lt;UIoptions!$T$16),1,0))</f>
        <v>0</v>
      </c>
      <c r="BJ52" s="38" t="e">
        <f>IF(OR(UIoptions!$Q$18=PCdb[[#This Row],[THRU_SCREW]],UIoptions!$Q$18="NA"),1,0)</f>
        <v>#N/A</v>
      </c>
      <c r="BK52" s="38">
        <f>IF(OR(UIoptions!$P$19=PCdb[[#This Row],[THREAD_SZ]],UIoptions!$P$19="NA"),1,0)</f>
        <v>1</v>
      </c>
      <c r="BL52" s="38">
        <f>IF(UIoptions!$N$75=1,1,IF(AND(PCdb[[#This Row],[THREAD_L]]&gt;UIoptions!$S$17,PCdb[[#This Row],[THREAD_L]]&lt;UIoptions!$T$17),1,0))</f>
        <v>1</v>
      </c>
      <c r="BM52" s="38" t="e">
        <f>IF(SUM(PCdb[[#This Row],[BDhit]:[THREAD_Lhit]])=11,1,0)</f>
        <v>#N/A</v>
      </c>
      <c r="BN5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8050483066NA10.2M4NANA4</v>
      </c>
      <c r="BO52" s="38" t="e">
        <f>SUM(PCdb[[#This Row],[BDhit]:[THREAD_Lhit]])</f>
        <v>#N/A</v>
      </c>
    </row>
    <row r="53" spans="1:67" x14ac:dyDescent="0.25">
      <c r="A53" s="7">
        <v>50</v>
      </c>
      <c r="B53" s="93">
        <v>75</v>
      </c>
      <c r="C53" s="93">
        <v>60</v>
      </c>
      <c r="D53" s="93">
        <v>4</v>
      </c>
      <c r="E53" s="93">
        <v>11</v>
      </c>
      <c r="F53" s="93">
        <v>23</v>
      </c>
      <c r="G53" s="93">
        <v>72</v>
      </c>
      <c r="H53" s="93" t="s">
        <v>87</v>
      </c>
      <c r="I53" s="93">
        <v>11.2</v>
      </c>
      <c r="J53" s="93" t="s">
        <v>45</v>
      </c>
      <c r="K53" s="93" t="s">
        <v>87</v>
      </c>
      <c r="L53" s="93" t="s">
        <v>87</v>
      </c>
      <c r="M53" s="93">
        <v>4</v>
      </c>
      <c r="N53" s="38" t="s">
        <v>45</v>
      </c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>
        <f>IF(AND(PCdb[[#This Row],[BCD]]&gt;UIoptions!$S$10,PCdb[[#This Row],[BCD]]&lt;UIoptions!$T$10),1,0)</f>
        <v>1</v>
      </c>
      <c r="BC53" s="38">
        <f>IF(AND(PCdb[[#This Row],[PD]]&gt;UIoptions!$S$11,PCdb[[#This Row],[PD]]&lt;UIoptions!$T$11),1,0)</f>
        <v>1</v>
      </c>
      <c r="BD53" s="38">
        <f>IF(AND(UIoptions!$P$14&lt;=PCdb[[#This Row],[PL (MAX)]],UIoptions!$P$14&gt;UIoptions!$S$14),1,0)</f>
        <v>1</v>
      </c>
      <c r="BE53" s="38">
        <f>IF(AND(PCdb[[#This Row],[SD]]&gt;UIoptions!$S$12,PCdb[[#This Row],[SD]]&lt;UIoptions!$T$12),1,0)</f>
        <v>1</v>
      </c>
      <c r="BF53" s="38">
        <f>IF(AND(PCdb[[#This Row],[SL]]&gt;UIoptions!$S$13,PCdb[[#This Row],[SL]]&lt;UIoptions!$T$13),1,0)</f>
        <v>1</v>
      </c>
      <c r="BG53" s="38">
        <f>IF(UIoptions!$N$35=1,IF(AND(PCdb[[#This Row],[SQ_SZ]]&gt;UIoptions!$S$15,PCdb[[#This Row],[SQ_SZ]]&lt;UIoptions!$T$15),1,0),1)</f>
        <v>0</v>
      </c>
      <c r="BH53" s="38">
        <f>IF(UIoptions!$N$35=2,IF(AND(PCdb[[#This Row],[ROUND_D]]&gt;UIoptions!$S$15,PCdb[[#This Row],[ROUND_D]]&lt;UIoptions!$T$15),1,0),1)</f>
        <v>1</v>
      </c>
      <c r="BI53" s="38">
        <f>IF(UIoptions!$N$75&lt;&gt;1,1,IF(AND(PCdb[[#This Row],[FL]]&gt;UIoptions!$S$16,PCdb[[#This Row],[FL]]&lt;UIoptions!$T$16),1,0))</f>
        <v>0</v>
      </c>
      <c r="BJ53" s="38" t="e">
        <f>IF(OR(UIoptions!$Q$18=PCdb[[#This Row],[THRU_SCREW]],UIoptions!$Q$18="NA"),1,0)</f>
        <v>#N/A</v>
      </c>
      <c r="BK53" s="38">
        <f>IF(OR(UIoptions!$P$19=PCdb[[#This Row],[THREAD_SZ]],UIoptions!$P$19="NA"),1,0)</f>
        <v>1</v>
      </c>
      <c r="BL53" s="38">
        <f>IF(UIoptions!$N$75=1,1,IF(AND(PCdb[[#This Row],[THREAD_L]]&gt;UIoptions!$S$17,PCdb[[#This Row],[THREAD_L]]&lt;UIoptions!$T$17),1,0))</f>
        <v>1</v>
      </c>
      <c r="BM53" s="38" t="e">
        <f>IF(SUM(PCdb[[#This Row],[BDhit]:[THREAD_Lhit]])=11,1,0)</f>
        <v>#N/A</v>
      </c>
      <c r="BN5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75604112372NA11.2M5NANA4</v>
      </c>
      <c r="BO53" s="38" t="e">
        <f>SUM(PCdb[[#This Row],[BDhit]:[THREAD_Lhit]])</f>
        <v>#N/A</v>
      </c>
    </row>
    <row r="54" spans="1:67" x14ac:dyDescent="0.25">
      <c r="A54" s="7">
        <v>51</v>
      </c>
      <c r="B54" s="93">
        <v>98.4</v>
      </c>
      <c r="C54" s="93">
        <v>73.03</v>
      </c>
      <c r="D54" s="93">
        <v>4</v>
      </c>
      <c r="E54" s="93">
        <v>12.7</v>
      </c>
      <c r="F54" s="93">
        <v>30</v>
      </c>
      <c r="G54" s="93">
        <v>84.1</v>
      </c>
      <c r="H54" s="93" t="s">
        <v>87</v>
      </c>
      <c r="I54" s="93">
        <v>11.2</v>
      </c>
      <c r="J54" s="93" t="s">
        <v>45</v>
      </c>
      <c r="K54" s="93" t="s">
        <v>87</v>
      </c>
      <c r="L54" s="93" t="s">
        <v>87</v>
      </c>
      <c r="M54" s="93">
        <v>4</v>
      </c>
      <c r="N54" s="38" t="s">
        <v>45</v>
      </c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>
        <f>IF(AND(PCdb[[#This Row],[BCD]]&gt;UIoptions!$S$10,PCdb[[#This Row],[BCD]]&lt;UIoptions!$T$10),1,0)</f>
        <v>0</v>
      </c>
      <c r="BC54" s="38">
        <f>IF(AND(PCdb[[#This Row],[PD]]&gt;UIoptions!$S$11,PCdb[[#This Row],[PD]]&lt;UIoptions!$T$11),1,0)</f>
        <v>0</v>
      </c>
      <c r="BD54" s="38">
        <f>IF(AND(UIoptions!$P$14&lt;=PCdb[[#This Row],[PL (MAX)]],UIoptions!$P$14&gt;UIoptions!$S$14),1,0)</f>
        <v>1</v>
      </c>
      <c r="BE54" s="38">
        <f>IF(AND(PCdb[[#This Row],[SD]]&gt;UIoptions!$S$12,PCdb[[#This Row],[SD]]&lt;UIoptions!$T$12),1,0)</f>
        <v>0</v>
      </c>
      <c r="BF54" s="38">
        <f>IF(AND(PCdb[[#This Row],[SL]]&gt;UIoptions!$S$13,PCdb[[#This Row],[SL]]&lt;UIoptions!$T$13),1,0)</f>
        <v>0</v>
      </c>
      <c r="BG54" s="38">
        <f>IF(UIoptions!$N$35=1,IF(AND(PCdb[[#This Row],[SQ_SZ]]&gt;UIoptions!$S$15,PCdb[[#This Row],[SQ_SZ]]&lt;UIoptions!$T$15),1,0),1)</f>
        <v>0</v>
      </c>
      <c r="BH54" s="38">
        <f>IF(UIoptions!$N$35=2,IF(AND(PCdb[[#This Row],[ROUND_D]]&gt;UIoptions!$S$15,PCdb[[#This Row],[ROUND_D]]&lt;UIoptions!$T$15),1,0),1)</f>
        <v>1</v>
      </c>
      <c r="BI54" s="38">
        <f>IF(UIoptions!$N$75&lt;&gt;1,1,IF(AND(PCdb[[#This Row],[FL]]&gt;UIoptions!$S$16,PCdb[[#This Row],[FL]]&lt;UIoptions!$T$16),1,0))</f>
        <v>0</v>
      </c>
      <c r="BJ54" s="38" t="e">
        <f>IF(OR(UIoptions!$Q$18=PCdb[[#This Row],[THRU_SCREW]],UIoptions!$Q$18="NA"),1,0)</f>
        <v>#N/A</v>
      </c>
      <c r="BK54" s="38">
        <f>IF(OR(UIoptions!$P$19=PCdb[[#This Row],[THREAD_SZ]],UIoptions!$P$19="NA"),1,0)</f>
        <v>1</v>
      </c>
      <c r="BL54" s="38">
        <f>IF(UIoptions!$N$75=1,1,IF(AND(PCdb[[#This Row],[THREAD_L]]&gt;UIoptions!$S$17,PCdb[[#This Row],[THREAD_L]]&lt;UIoptions!$T$17),1,0))</f>
        <v>1</v>
      </c>
      <c r="BM54" s="38" t="e">
        <f>IF(SUM(PCdb[[#This Row],[BDhit]:[THREAD_Lhit]])=11,1,0)</f>
        <v>#N/A</v>
      </c>
      <c r="BN5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98.473.03412.73084.1NA11.2M5NANA4</v>
      </c>
      <c r="BO54" s="38" t="e">
        <f>SUM(PCdb[[#This Row],[BDhit]:[THREAD_Lhit]])</f>
        <v>#N/A</v>
      </c>
    </row>
    <row r="55" spans="1:67" x14ac:dyDescent="0.25">
      <c r="A55" s="7">
        <v>52</v>
      </c>
      <c r="B55" s="93">
        <v>100</v>
      </c>
      <c r="C55" s="93">
        <v>80</v>
      </c>
      <c r="D55" s="93">
        <v>4</v>
      </c>
      <c r="E55" s="93">
        <v>14</v>
      </c>
      <c r="F55" s="93">
        <v>30</v>
      </c>
      <c r="G55" s="93">
        <v>89</v>
      </c>
      <c r="H55" s="93" t="s">
        <v>87</v>
      </c>
      <c r="I55" s="93">
        <v>11.2</v>
      </c>
      <c r="J55" s="93" t="s">
        <v>49</v>
      </c>
      <c r="K55" s="93" t="s">
        <v>87</v>
      </c>
      <c r="L55" s="93" t="s">
        <v>87</v>
      </c>
      <c r="M55" s="93">
        <v>4</v>
      </c>
      <c r="N55" s="38" t="s">
        <v>49</v>
      </c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>
        <f>IF(AND(PCdb[[#This Row],[BCD]]&gt;UIoptions!$S$10,PCdb[[#This Row],[BCD]]&lt;UIoptions!$T$10),1,0)</f>
        <v>0</v>
      </c>
      <c r="BC55" s="38">
        <f>IF(AND(PCdb[[#This Row],[PD]]&gt;UIoptions!$S$11,PCdb[[#This Row],[PD]]&lt;UIoptions!$T$11),1,0)</f>
        <v>0</v>
      </c>
      <c r="BD55" s="38">
        <f>IF(AND(UIoptions!$P$14&lt;=PCdb[[#This Row],[PL (MAX)]],UIoptions!$P$14&gt;UIoptions!$S$14),1,0)</f>
        <v>1</v>
      </c>
      <c r="BE55" s="38">
        <f>IF(AND(PCdb[[#This Row],[SD]]&gt;UIoptions!$S$12,PCdb[[#This Row],[SD]]&lt;UIoptions!$T$12),1,0)</f>
        <v>0</v>
      </c>
      <c r="BF55" s="38">
        <f>IF(AND(PCdb[[#This Row],[SL]]&gt;UIoptions!$S$13,PCdb[[#This Row],[SL]]&lt;UIoptions!$T$13),1,0)</f>
        <v>0</v>
      </c>
      <c r="BG55" s="38">
        <f>IF(UIoptions!$N$35=1,IF(AND(PCdb[[#This Row],[SQ_SZ]]&gt;UIoptions!$S$15,PCdb[[#This Row],[SQ_SZ]]&lt;UIoptions!$T$15),1,0),1)</f>
        <v>0</v>
      </c>
      <c r="BH55" s="38">
        <f>IF(UIoptions!$N$35=2,IF(AND(PCdb[[#This Row],[ROUND_D]]&gt;UIoptions!$S$15,PCdb[[#This Row],[ROUND_D]]&lt;UIoptions!$T$15),1,0),1)</f>
        <v>1</v>
      </c>
      <c r="BI55" s="38">
        <f>IF(UIoptions!$N$75&lt;&gt;1,1,IF(AND(PCdb[[#This Row],[FL]]&gt;UIoptions!$S$16,PCdb[[#This Row],[FL]]&lt;UIoptions!$T$16),1,0))</f>
        <v>0</v>
      </c>
      <c r="BJ55" s="38" t="e">
        <f>IF(OR(UIoptions!$Q$18=PCdb[[#This Row],[THRU_SCREW]],UIoptions!$Q$18="NA"),1,0)</f>
        <v>#N/A</v>
      </c>
      <c r="BK55" s="38">
        <f>IF(OR(UIoptions!$P$19=PCdb[[#This Row],[THREAD_SZ]],UIoptions!$P$19="NA"),1,0)</f>
        <v>1</v>
      </c>
      <c r="BL55" s="38">
        <f>IF(UIoptions!$N$75=1,1,IF(AND(PCdb[[#This Row],[THREAD_L]]&gt;UIoptions!$S$17,PCdb[[#This Row],[THREAD_L]]&lt;UIoptions!$T$17),1,0))</f>
        <v>1</v>
      </c>
      <c r="BM55" s="38" t="e">
        <f>IF(SUM(PCdb[[#This Row],[BDhit]:[THREAD_Lhit]])=11,1,0)</f>
        <v>#N/A</v>
      </c>
      <c r="BN5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100804143089NA11.2M6NANA4</v>
      </c>
      <c r="BO55" s="38" t="e">
        <f>SUM(PCdb[[#This Row],[BDhit]:[THREAD_Lhit]])</f>
        <v>#N/A</v>
      </c>
    </row>
    <row r="56" spans="1:67" x14ac:dyDescent="0.25">
      <c r="A56" s="7">
        <v>53</v>
      </c>
      <c r="B56" s="93">
        <v>46.7</v>
      </c>
      <c r="C56" s="93">
        <v>22.02</v>
      </c>
      <c r="D56" s="93">
        <v>4</v>
      </c>
      <c r="E56" s="93">
        <v>6.35</v>
      </c>
      <c r="F56" s="93">
        <v>24.8</v>
      </c>
      <c r="G56" s="93">
        <v>40.9</v>
      </c>
      <c r="H56" s="93" t="s">
        <v>87</v>
      </c>
      <c r="I56" s="93">
        <v>6.5</v>
      </c>
      <c r="J56" s="93" t="s">
        <v>105</v>
      </c>
      <c r="K56" s="93" t="s">
        <v>87</v>
      </c>
      <c r="L56" s="93" t="s">
        <v>87</v>
      </c>
      <c r="M56" s="93">
        <v>4</v>
      </c>
      <c r="N56" s="38" t="s">
        <v>105</v>
      </c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>
        <f>IF(AND(PCdb[[#This Row],[BCD]]&gt;UIoptions!$S$10,PCdb[[#This Row],[BCD]]&lt;UIoptions!$T$10),1,0)</f>
        <v>0</v>
      </c>
      <c r="BC56" s="38">
        <f>IF(AND(PCdb[[#This Row],[PD]]&gt;UIoptions!$S$11,PCdb[[#This Row],[PD]]&lt;UIoptions!$T$11),1,0)</f>
        <v>0</v>
      </c>
      <c r="BD56" s="38">
        <f>IF(AND(UIoptions!$P$14&lt;=PCdb[[#This Row],[PL (MAX)]],UIoptions!$P$14&gt;UIoptions!$S$14),1,0)</f>
        <v>1</v>
      </c>
      <c r="BE56" s="38">
        <f>IF(AND(PCdb[[#This Row],[SD]]&gt;UIoptions!$S$12,PCdb[[#This Row],[SD]]&lt;UIoptions!$T$12),1,0)</f>
        <v>0</v>
      </c>
      <c r="BF56" s="38">
        <f>IF(AND(PCdb[[#This Row],[SL]]&gt;UIoptions!$S$13,PCdb[[#This Row],[SL]]&lt;UIoptions!$T$13),1,0)</f>
        <v>0</v>
      </c>
      <c r="BG56" s="38">
        <f>IF(UIoptions!$N$35=1,IF(AND(PCdb[[#This Row],[SQ_SZ]]&gt;UIoptions!$S$15,PCdb[[#This Row],[SQ_SZ]]&lt;UIoptions!$T$15),1,0),1)</f>
        <v>0</v>
      </c>
      <c r="BH56" s="38">
        <f>IF(UIoptions!$N$35=2,IF(AND(PCdb[[#This Row],[ROUND_D]]&gt;UIoptions!$S$15,PCdb[[#This Row],[ROUND_D]]&lt;UIoptions!$T$15),1,0),1)</f>
        <v>1</v>
      </c>
      <c r="BI56" s="38">
        <f>IF(UIoptions!$N$75&lt;&gt;1,1,IF(AND(PCdb[[#This Row],[FL]]&gt;UIoptions!$S$16,PCdb[[#This Row],[FL]]&lt;UIoptions!$T$16),1,0))</f>
        <v>0</v>
      </c>
      <c r="BJ56" s="38" t="e">
        <f>IF(OR(UIoptions!$Q$18=PCdb[[#This Row],[THRU_SCREW]],UIoptions!$Q$18="NA"),1,0)</f>
        <v>#N/A</v>
      </c>
      <c r="BK56" s="38">
        <f>IF(OR(UIoptions!$P$19=PCdb[[#This Row],[THREAD_SZ]],UIoptions!$P$19="NA"),1,0)</f>
        <v>1</v>
      </c>
      <c r="BL56" s="38">
        <f>IF(UIoptions!$N$75=1,1,IF(AND(PCdb[[#This Row],[THREAD_L]]&gt;UIoptions!$S$17,PCdb[[#This Row],[THREAD_L]]&lt;UIoptions!$T$17),1,0))</f>
        <v>1</v>
      </c>
      <c r="BM56" s="38" t="e">
        <f>IF(SUM(PCdb[[#This Row],[BDhit]:[THREAD_Lhit]])=11,1,0)</f>
        <v>#N/A</v>
      </c>
      <c r="BN5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46.722.0246.3524.840.9NA6.5M3NANA4</v>
      </c>
      <c r="BO56" s="38" t="e">
        <f>SUM(PCdb[[#This Row],[BDhit]:[THREAD_Lhit]])</f>
        <v>#N/A</v>
      </c>
    </row>
    <row r="57" spans="1:67" x14ac:dyDescent="0.25">
      <c r="A57" s="7">
        <v>54</v>
      </c>
      <c r="B57" s="93">
        <v>66.7</v>
      </c>
      <c r="C57" s="93">
        <v>38.1</v>
      </c>
      <c r="D57" s="93">
        <v>4</v>
      </c>
      <c r="E57" s="93">
        <v>9.51</v>
      </c>
      <c r="F57" s="93">
        <v>31.9</v>
      </c>
      <c r="G57" s="93">
        <v>57.3</v>
      </c>
      <c r="H57" s="93" t="s">
        <v>87</v>
      </c>
      <c r="I57" s="93">
        <v>9.1</v>
      </c>
      <c r="J57" s="93" t="s">
        <v>45</v>
      </c>
      <c r="K57" s="93" t="s">
        <v>87</v>
      </c>
      <c r="L57" s="93" t="s">
        <v>87</v>
      </c>
      <c r="M57" s="93">
        <v>4</v>
      </c>
      <c r="N57" s="38" t="s">
        <v>45</v>
      </c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>
        <f>IF(AND(PCdb[[#This Row],[BCD]]&gt;UIoptions!$S$10,PCdb[[#This Row],[BCD]]&lt;UIoptions!$T$10),1,0)</f>
        <v>0</v>
      </c>
      <c r="BC57" s="38">
        <f>IF(AND(PCdb[[#This Row],[PD]]&gt;UIoptions!$S$11,PCdb[[#This Row],[PD]]&lt;UIoptions!$T$11),1,0)</f>
        <v>0</v>
      </c>
      <c r="BD57" s="38">
        <f>IF(AND(UIoptions!$P$14&lt;=PCdb[[#This Row],[PL (MAX)]],UIoptions!$P$14&gt;UIoptions!$S$14),1,0)</f>
        <v>1</v>
      </c>
      <c r="BE57" s="38">
        <f>IF(AND(PCdb[[#This Row],[SD]]&gt;UIoptions!$S$12,PCdb[[#This Row],[SD]]&lt;UIoptions!$T$12),1,0)</f>
        <v>0</v>
      </c>
      <c r="BF57" s="38">
        <f>IF(AND(PCdb[[#This Row],[SL]]&gt;UIoptions!$S$13,PCdb[[#This Row],[SL]]&lt;UIoptions!$T$13),1,0)</f>
        <v>0</v>
      </c>
      <c r="BG57" s="38">
        <f>IF(UIoptions!$N$35=1,IF(AND(PCdb[[#This Row],[SQ_SZ]]&gt;UIoptions!$S$15,PCdb[[#This Row],[SQ_SZ]]&lt;UIoptions!$T$15),1,0),1)</f>
        <v>0</v>
      </c>
      <c r="BH57" s="38">
        <f>IF(UIoptions!$N$35=2,IF(AND(PCdb[[#This Row],[ROUND_D]]&gt;UIoptions!$S$15,PCdb[[#This Row],[ROUND_D]]&lt;UIoptions!$T$15),1,0),1)</f>
        <v>1</v>
      </c>
      <c r="BI57" s="38">
        <f>IF(UIoptions!$N$75&lt;&gt;1,1,IF(AND(PCdb[[#This Row],[FL]]&gt;UIoptions!$S$16,PCdb[[#This Row],[FL]]&lt;UIoptions!$T$16),1,0))</f>
        <v>0</v>
      </c>
      <c r="BJ57" s="38" t="e">
        <f>IF(OR(UIoptions!$Q$18=PCdb[[#This Row],[THRU_SCREW]],UIoptions!$Q$18="NA"),1,0)</f>
        <v>#N/A</v>
      </c>
      <c r="BK57" s="38">
        <f>IF(OR(UIoptions!$P$19=PCdb[[#This Row],[THREAD_SZ]],UIoptions!$P$19="NA"),1,0)</f>
        <v>1</v>
      </c>
      <c r="BL57" s="38">
        <f>IF(UIoptions!$N$75=1,1,IF(AND(PCdb[[#This Row],[THREAD_L]]&gt;UIoptions!$S$17,PCdb[[#This Row],[THREAD_L]]&lt;UIoptions!$T$17),1,0))</f>
        <v>1</v>
      </c>
      <c r="BM57" s="38" t="e">
        <f>IF(SUM(PCdb[[#This Row],[BDhit]:[THREAD_Lhit]])=11,1,0)</f>
        <v>#N/A</v>
      </c>
      <c r="BN5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66.738.149.5131.957.3NA9.1M5NANA4</v>
      </c>
      <c r="BO57" s="38" t="e">
        <f>SUM(PCdb[[#This Row],[BDhit]:[THREAD_Lhit]])</f>
        <v>#N/A</v>
      </c>
    </row>
    <row r="58" spans="1:67" x14ac:dyDescent="0.25">
      <c r="A58" s="7">
        <v>55</v>
      </c>
      <c r="B58" s="93">
        <v>98.4</v>
      </c>
      <c r="C58" s="93">
        <v>73.03</v>
      </c>
      <c r="D58" s="93">
        <v>4</v>
      </c>
      <c r="E58" s="93">
        <v>12.7</v>
      </c>
      <c r="F58" s="93">
        <v>30.3</v>
      </c>
      <c r="G58" s="93">
        <v>84.9</v>
      </c>
      <c r="H58" s="93" t="s">
        <v>87</v>
      </c>
      <c r="I58" s="93">
        <v>7</v>
      </c>
      <c r="J58" s="93" t="s">
        <v>45</v>
      </c>
      <c r="K58" s="93" t="s">
        <v>87</v>
      </c>
      <c r="L58" s="93" t="s">
        <v>87</v>
      </c>
      <c r="M58" s="93">
        <v>4</v>
      </c>
      <c r="N58" s="38" t="s">
        <v>45</v>
      </c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>
        <v>39</v>
      </c>
      <c r="AW58" s="38" t="s">
        <v>87</v>
      </c>
      <c r="AX58" s="38" t="s">
        <v>130</v>
      </c>
      <c r="AY58" s="38" t="s">
        <v>177</v>
      </c>
      <c r="AZ58" s="38">
        <v>45</v>
      </c>
      <c r="BA58" s="38">
        <v>90</v>
      </c>
      <c r="BB58" s="38">
        <f>IF(AND(PCdb[[#This Row],[BCD]]&gt;UIoptions!$S$10,PCdb[[#This Row],[BCD]]&lt;UIoptions!$T$10),1,0)</f>
        <v>0</v>
      </c>
      <c r="BC58" s="38">
        <f>IF(AND(PCdb[[#This Row],[PD]]&gt;UIoptions!$S$11,PCdb[[#This Row],[PD]]&lt;UIoptions!$T$11),1,0)</f>
        <v>0</v>
      </c>
      <c r="BD58" s="38">
        <f>IF(AND(UIoptions!$P$14&lt;=PCdb[[#This Row],[PL (MAX)]],UIoptions!$P$14&gt;UIoptions!$S$14),1,0)</f>
        <v>1</v>
      </c>
      <c r="BE58" s="38">
        <f>IF(AND(PCdb[[#This Row],[SD]]&gt;UIoptions!$S$12,PCdb[[#This Row],[SD]]&lt;UIoptions!$T$12),1,0)</f>
        <v>0</v>
      </c>
      <c r="BF58" s="38">
        <f>IF(AND(PCdb[[#This Row],[SL]]&gt;UIoptions!$S$13,PCdb[[#This Row],[SL]]&lt;UIoptions!$T$13),1,0)</f>
        <v>0</v>
      </c>
      <c r="BG58" s="38">
        <f>IF(UIoptions!$N$35=1,IF(AND(PCdb[[#This Row],[SQ_SZ]]&gt;UIoptions!$S$15,PCdb[[#This Row],[SQ_SZ]]&lt;UIoptions!$T$15),1,0),1)</f>
        <v>0</v>
      </c>
      <c r="BH58" s="38">
        <f>IF(UIoptions!$N$35=2,IF(AND(PCdb[[#This Row],[ROUND_D]]&gt;UIoptions!$S$15,PCdb[[#This Row],[ROUND_D]]&lt;UIoptions!$T$15),1,0),1)</f>
        <v>1</v>
      </c>
      <c r="BI58" s="38">
        <f>IF(UIoptions!$N$75&lt;&gt;1,1,IF(AND(PCdb[[#This Row],[FL]]&gt;UIoptions!$S$16,PCdb[[#This Row],[FL]]&lt;UIoptions!$T$16),1,0))</f>
        <v>0</v>
      </c>
      <c r="BJ58" s="38" t="e">
        <f>IF(OR(UIoptions!$Q$18=PCdb[[#This Row],[THRU_SCREW]],UIoptions!$Q$18="NA"),1,0)</f>
        <v>#N/A</v>
      </c>
      <c r="BK58" s="38">
        <f>IF(OR(UIoptions!$P$19=PCdb[[#This Row],[THREAD_SZ]],UIoptions!$P$19="NA"),1,0)</f>
        <v>1</v>
      </c>
      <c r="BL58" s="38">
        <f>IF(UIoptions!$N$75=1,1,IF(AND(PCdb[[#This Row],[THREAD_L]]&gt;UIoptions!$S$17,PCdb[[#This Row],[THREAD_L]]&lt;UIoptions!$T$17),1,0))</f>
        <v>1</v>
      </c>
      <c r="BM58" s="38" t="e">
        <f>IF(SUM(PCdb[[#This Row],[BDhit]:[THREAD_Lhit]])=11,1,0)</f>
        <v>#N/A</v>
      </c>
      <c r="BN5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98.473.03412.730.384.9NA7M5NANA4</v>
      </c>
      <c r="BO58" s="38" t="e">
        <f>SUM(PCdb[[#This Row],[BDhit]:[THREAD_Lhit]])</f>
        <v>#N/A</v>
      </c>
    </row>
    <row r="59" spans="1:67" x14ac:dyDescent="0.25">
      <c r="A59" s="7">
        <v>56</v>
      </c>
      <c r="B59" s="93">
        <v>100</v>
      </c>
      <c r="C59" s="93">
        <v>80</v>
      </c>
      <c r="D59" s="93">
        <v>4</v>
      </c>
      <c r="E59" s="93">
        <v>16</v>
      </c>
      <c r="F59" s="93">
        <v>40</v>
      </c>
      <c r="G59" s="93">
        <v>92.4</v>
      </c>
      <c r="H59" s="93" t="s">
        <v>87</v>
      </c>
      <c r="I59" s="93">
        <v>9.9</v>
      </c>
      <c r="J59" s="93" t="s">
        <v>49</v>
      </c>
      <c r="K59" s="93" t="s">
        <v>87</v>
      </c>
      <c r="L59" s="93" t="s">
        <v>87</v>
      </c>
      <c r="M59" s="93">
        <v>4</v>
      </c>
      <c r="N59" s="38" t="s">
        <v>49</v>
      </c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>
        <v>45.2</v>
      </c>
      <c r="AD59" s="38">
        <v>42</v>
      </c>
      <c r="AE59" s="38">
        <v>0</v>
      </c>
      <c r="AF59" s="38" t="s">
        <v>130</v>
      </c>
      <c r="AG59" s="38" t="s">
        <v>172</v>
      </c>
      <c r="AH59" s="38">
        <v>45</v>
      </c>
      <c r="AI59" s="38">
        <v>90</v>
      </c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>
        <f>IF(AND(PCdb[[#This Row],[BCD]]&gt;UIoptions!$S$10,PCdb[[#This Row],[BCD]]&lt;UIoptions!$T$10),1,0)</f>
        <v>0</v>
      </c>
      <c r="BC59" s="38">
        <f>IF(AND(PCdb[[#This Row],[PD]]&gt;UIoptions!$S$11,PCdb[[#This Row],[PD]]&lt;UIoptions!$T$11),1,0)</f>
        <v>0</v>
      </c>
      <c r="BD59" s="38">
        <f>IF(AND(UIoptions!$P$14&lt;=PCdb[[#This Row],[PL (MAX)]],UIoptions!$P$14&gt;UIoptions!$S$14),1,0)</f>
        <v>1</v>
      </c>
      <c r="BE59" s="38">
        <f>IF(AND(PCdb[[#This Row],[SD]]&gt;UIoptions!$S$12,PCdb[[#This Row],[SD]]&lt;UIoptions!$T$12),1,0)</f>
        <v>0</v>
      </c>
      <c r="BF59" s="38">
        <f>IF(AND(PCdb[[#This Row],[SL]]&gt;UIoptions!$S$13,PCdb[[#This Row],[SL]]&lt;UIoptions!$T$13),1,0)</f>
        <v>0</v>
      </c>
      <c r="BG59" s="38">
        <f>IF(UIoptions!$N$35=1,IF(AND(PCdb[[#This Row],[SQ_SZ]]&gt;UIoptions!$S$15,PCdb[[#This Row],[SQ_SZ]]&lt;UIoptions!$T$15),1,0),1)</f>
        <v>0</v>
      </c>
      <c r="BH59" s="38">
        <f>IF(UIoptions!$N$35=2,IF(AND(PCdb[[#This Row],[ROUND_D]]&gt;UIoptions!$S$15,PCdb[[#This Row],[ROUND_D]]&lt;UIoptions!$T$15),1,0),1)</f>
        <v>1</v>
      </c>
      <c r="BI59" s="38">
        <f>IF(UIoptions!$N$75&lt;&gt;1,1,IF(AND(PCdb[[#This Row],[FL]]&gt;UIoptions!$S$16,PCdb[[#This Row],[FL]]&lt;UIoptions!$T$16),1,0))</f>
        <v>0</v>
      </c>
      <c r="BJ59" s="38" t="e">
        <f>IF(OR(UIoptions!$Q$18=PCdb[[#This Row],[THRU_SCREW]],UIoptions!$Q$18="NA"),1,0)</f>
        <v>#N/A</v>
      </c>
      <c r="BK59" s="38">
        <f>IF(OR(UIoptions!$P$19=PCdb[[#This Row],[THREAD_SZ]],UIoptions!$P$19="NA"),1,0)</f>
        <v>1</v>
      </c>
      <c r="BL59" s="38">
        <f>IF(UIoptions!$N$75=1,1,IF(AND(PCdb[[#This Row],[THREAD_L]]&gt;UIoptions!$S$17,PCdb[[#This Row],[THREAD_L]]&lt;UIoptions!$T$17),1,0))</f>
        <v>1</v>
      </c>
      <c r="BM59" s="38" t="e">
        <f>IF(SUM(PCdb[[#This Row],[BDhit]:[THREAD_Lhit]])=11,1,0)</f>
        <v>#N/A</v>
      </c>
      <c r="BN5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100804164092.4NA9.9M6NANA4</v>
      </c>
      <c r="BO59" s="38" t="e">
        <f>SUM(PCdb[[#This Row],[BDhit]:[THREAD_Lhit]])</f>
        <v>#N/A</v>
      </c>
    </row>
    <row r="60" spans="1:67" x14ac:dyDescent="0.25">
      <c r="A60" s="7">
        <v>57</v>
      </c>
      <c r="B60" s="93">
        <v>63</v>
      </c>
      <c r="C60" s="93">
        <v>40</v>
      </c>
      <c r="D60" s="93">
        <v>4</v>
      </c>
      <c r="E60" s="93">
        <v>9</v>
      </c>
      <c r="F60" s="93">
        <v>19.7</v>
      </c>
      <c r="G60" s="93">
        <v>55</v>
      </c>
      <c r="H60" s="93" t="s">
        <v>87</v>
      </c>
      <c r="I60" s="93" t="s">
        <v>629</v>
      </c>
      <c r="J60" s="93" t="s">
        <v>45</v>
      </c>
      <c r="K60" s="93" t="s">
        <v>87</v>
      </c>
      <c r="L60" s="93" t="s">
        <v>87</v>
      </c>
      <c r="M60" s="93">
        <v>4</v>
      </c>
      <c r="N60" s="38" t="s">
        <v>45</v>
      </c>
      <c r="O60" s="38"/>
      <c r="P60" s="38"/>
      <c r="Q60" s="38"/>
      <c r="R60" s="38"/>
      <c r="S60" s="38"/>
      <c r="T60" s="38"/>
      <c r="U60" s="38"/>
      <c r="V60" s="38">
        <v>38.700000000000003</v>
      </c>
      <c r="W60" s="38" t="s">
        <v>87</v>
      </c>
      <c r="X60" s="38" t="s">
        <v>87</v>
      </c>
      <c r="Y60" s="38" t="s">
        <v>628</v>
      </c>
      <c r="Z60" s="38" t="s">
        <v>172</v>
      </c>
      <c r="AA60" s="38">
        <v>45</v>
      </c>
      <c r="AB60" s="38">
        <v>90</v>
      </c>
      <c r="AC60" s="38"/>
      <c r="AD60" s="38"/>
      <c r="AE60" s="38"/>
      <c r="AF60" s="38"/>
      <c r="AG60" s="38"/>
      <c r="AH60" s="38"/>
      <c r="AI60" s="38"/>
      <c r="AJ60" s="38">
        <v>23</v>
      </c>
      <c r="AK60" s="38">
        <v>0</v>
      </c>
      <c r="AL60" s="38" t="s">
        <v>130</v>
      </c>
      <c r="AM60" s="38" t="s">
        <v>177</v>
      </c>
      <c r="AN60" s="38">
        <v>45</v>
      </c>
      <c r="AO60" s="38">
        <v>90</v>
      </c>
      <c r="AP60" s="38">
        <v>24</v>
      </c>
      <c r="AQ60" s="38" t="s">
        <v>87</v>
      </c>
      <c r="AR60" s="38" t="s">
        <v>130</v>
      </c>
      <c r="AS60" s="38" t="s">
        <v>176</v>
      </c>
      <c r="AT60" s="38">
        <v>45</v>
      </c>
      <c r="AU60" s="38">
        <v>90</v>
      </c>
      <c r="AV60" s="38"/>
      <c r="AW60" s="38"/>
      <c r="AX60" s="38"/>
      <c r="AY60" s="38"/>
      <c r="AZ60" s="38"/>
      <c r="BA60" s="38"/>
      <c r="BB60" s="38">
        <f>IF(AND(PCdb[[#This Row],[BCD]]&gt;UIoptions!$S$10,PCdb[[#This Row],[BCD]]&lt;UIoptions!$T$10),1,0)</f>
        <v>0</v>
      </c>
      <c r="BC60" s="38">
        <f>IF(AND(PCdb[[#This Row],[PD]]&gt;UIoptions!$S$11,PCdb[[#This Row],[PD]]&lt;UIoptions!$T$11),1,0)</f>
        <v>0</v>
      </c>
      <c r="BD60" s="38">
        <f>IF(AND(UIoptions!$P$14&lt;=PCdb[[#This Row],[PL (MAX)]],UIoptions!$P$14&gt;UIoptions!$S$14),1,0)</f>
        <v>1</v>
      </c>
      <c r="BE60" s="38">
        <f>IF(AND(PCdb[[#This Row],[SD]]&gt;UIoptions!$S$12,PCdb[[#This Row],[SD]]&lt;UIoptions!$T$12),1,0)</f>
        <v>0</v>
      </c>
      <c r="BF60" s="38">
        <f>IF(AND(PCdb[[#This Row],[SL]]&gt;UIoptions!$S$13,PCdb[[#This Row],[SL]]&lt;UIoptions!$T$13),1,0)</f>
        <v>0</v>
      </c>
      <c r="BG60" s="38">
        <f>IF(UIoptions!$N$35=1,IF(AND(PCdb[[#This Row],[SQ_SZ]]&gt;UIoptions!$S$15,PCdb[[#This Row],[SQ_SZ]]&lt;UIoptions!$T$15),1,0),1)</f>
        <v>0</v>
      </c>
      <c r="BH60" s="38">
        <f>IF(UIoptions!$N$35=2,IF(AND(PCdb[[#This Row],[ROUND_D]]&gt;UIoptions!$S$15,PCdb[[#This Row],[ROUND_D]]&lt;UIoptions!$T$15),1,0),1)</f>
        <v>1</v>
      </c>
      <c r="BI60" s="38">
        <f>IF(UIoptions!$N$75&lt;&gt;1,1,IF(AND(PCdb[[#This Row],[FL]]&gt;UIoptions!$S$16,PCdb[[#This Row],[FL]]&lt;UIoptions!$T$16),1,0))</f>
        <v>0</v>
      </c>
      <c r="BJ60" s="38" t="e">
        <f>IF(OR(UIoptions!$Q$18=PCdb[[#This Row],[THRU_SCREW]],UIoptions!$Q$18="NA"),1,0)</f>
        <v>#N/A</v>
      </c>
      <c r="BK60" s="38">
        <f>IF(OR(UIoptions!$P$19=PCdb[[#This Row],[THREAD_SZ]],UIoptions!$P$19="NA"),1,0)</f>
        <v>1</v>
      </c>
      <c r="BL60" s="38">
        <f>IF(UIoptions!$N$75=1,1,IF(AND(PCdb[[#This Row],[THREAD_L]]&gt;UIoptions!$S$17,PCdb[[#This Row],[THREAD_L]]&lt;UIoptions!$T$17),1,0))</f>
        <v>1</v>
      </c>
      <c r="BM60" s="38" t="e">
        <f>IF(SUM(PCdb[[#This Row],[BDhit]:[THREAD_Lhit]])=11,1,0)</f>
        <v>#N/A</v>
      </c>
      <c r="BN6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63404919.755NA6.5M5NANA4</v>
      </c>
      <c r="BO60" s="38" t="e">
        <f>SUM(PCdb[[#This Row],[BDhit]:[THREAD_Lhit]])</f>
        <v>#N/A</v>
      </c>
    </row>
    <row r="61" spans="1:67" x14ac:dyDescent="0.25">
      <c r="A61" s="7">
        <v>58</v>
      </c>
      <c r="B61" s="93">
        <v>75</v>
      </c>
      <c r="C61" s="93">
        <v>60</v>
      </c>
      <c r="D61" s="93">
        <v>4</v>
      </c>
      <c r="E61" s="93">
        <v>11</v>
      </c>
      <c r="F61" s="93">
        <v>22.7</v>
      </c>
      <c r="G61" s="93">
        <v>70</v>
      </c>
      <c r="H61" s="93" t="s">
        <v>87</v>
      </c>
      <c r="I61" s="93">
        <v>9</v>
      </c>
      <c r="J61" s="93" t="s">
        <v>45</v>
      </c>
      <c r="K61" s="93" t="s">
        <v>87</v>
      </c>
      <c r="L61" s="93" t="s">
        <v>87</v>
      </c>
      <c r="M61" s="93">
        <v>4</v>
      </c>
      <c r="N61" s="38" t="s">
        <v>45</v>
      </c>
      <c r="O61" s="38" t="s">
        <v>87</v>
      </c>
      <c r="P61" s="38" t="s">
        <v>87</v>
      </c>
      <c r="Q61" s="38" t="s">
        <v>87</v>
      </c>
      <c r="R61" s="38" t="s">
        <v>87</v>
      </c>
      <c r="S61" s="38" t="s">
        <v>87</v>
      </c>
      <c r="T61" s="38" t="s">
        <v>87</v>
      </c>
      <c r="U61" s="38" t="s">
        <v>87</v>
      </c>
      <c r="V61" s="38"/>
      <c r="W61" s="38"/>
      <c r="X61" s="38"/>
      <c r="Y61" s="38"/>
      <c r="Z61" s="38"/>
      <c r="AA61" s="38"/>
      <c r="AB61" s="38"/>
      <c r="AC61" s="38">
        <v>48.7</v>
      </c>
      <c r="AD61" s="38">
        <v>32</v>
      </c>
      <c r="AE61" s="38">
        <v>0</v>
      </c>
      <c r="AF61" s="38" t="s">
        <v>130</v>
      </c>
      <c r="AG61" s="38" t="s">
        <v>176</v>
      </c>
      <c r="AH61" s="38">
        <v>45</v>
      </c>
      <c r="AI61" s="38">
        <v>90</v>
      </c>
      <c r="AJ61" s="38" t="s">
        <v>87</v>
      </c>
      <c r="AK61" s="38" t="s">
        <v>87</v>
      </c>
      <c r="AL61" s="38" t="s">
        <v>87</v>
      </c>
      <c r="AM61" s="38" t="s">
        <v>87</v>
      </c>
      <c r="AN61" s="38" t="s">
        <v>87</v>
      </c>
      <c r="AO61" s="38" t="s">
        <v>87</v>
      </c>
      <c r="AP61" s="38">
        <v>32</v>
      </c>
      <c r="AQ61" s="38">
        <v>0</v>
      </c>
      <c r="AR61" s="38" t="s">
        <v>130</v>
      </c>
      <c r="AS61" s="38" t="s">
        <v>177</v>
      </c>
      <c r="AT61" s="38">
        <v>45</v>
      </c>
      <c r="AU61" s="38">
        <v>90</v>
      </c>
      <c r="AV61" s="38">
        <v>32</v>
      </c>
      <c r="AW61" s="38" t="s">
        <v>87</v>
      </c>
      <c r="AX61" s="38" t="s">
        <v>130</v>
      </c>
      <c r="AY61" s="38" t="s">
        <v>176</v>
      </c>
      <c r="AZ61" s="38">
        <v>45</v>
      </c>
      <c r="BA61" s="38">
        <v>90</v>
      </c>
      <c r="BB61" s="38">
        <f>IF(AND(PCdb[[#This Row],[BCD]]&gt;UIoptions!$S$10,PCdb[[#This Row],[BCD]]&lt;UIoptions!$T$10),1,0)</f>
        <v>1</v>
      </c>
      <c r="BC61" s="38">
        <f>IF(AND(PCdb[[#This Row],[PD]]&gt;UIoptions!$S$11,PCdb[[#This Row],[PD]]&lt;UIoptions!$T$11),1,0)</f>
        <v>1</v>
      </c>
      <c r="BD61" s="38">
        <f>IF(AND(UIoptions!$P$14&lt;=PCdb[[#This Row],[PL (MAX)]],UIoptions!$P$14&gt;UIoptions!$S$14),1,0)</f>
        <v>1</v>
      </c>
      <c r="BE61" s="38">
        <f>IF(AND(PCdb[[#This Row],[SD]]&gt;UIoptions!$S$12,PCdb[[#This Row],[SD]]&lt;UIoptions!$T$12),1,0)</f>
        <v>1</v>
      </c>
      <c r="BF61" s="38">
        <f>IF(AND(PCdb[[#This Row],[SL]]&gt;UIoptions!$S$13,PCdb[[#This Row],[SL]]&lt;UIoptions!$T$13),1,0)</f>
        <v>0</v>
      </c>
      <c r="BG61" s="38">
        <f>IF(UIoptions!$N$35=1,IF(AND(PCdb[[#This Row],[SQ_SZ]]&gt;UIoptions!$S$15,PCdb[[#This Row],[SQ_SZ]]&lt;UIoptions!$T$15),1,0),1)</f>
        <v>1</v>
      </c>
      <c r="BH61" s="38">
        <f>IF(UIoptions!$N$35=2,IF(AND(PCdb[[#This Row],[ROUND_D]]&gt;UIoptions!$S$15,PCdb[[#This Row],[ROUND_D]]&lt;UIoptions!$T$15),1,0),1)</f>
        <v>1</v>
      </c>
      <c r="BI61" s="38">
        <f>IF(UIoptions!$N$75&lt;&gt;1,1,IF(AND(PCdb[[#This Row],[FL]]&gt;UIoptions!$S$16,PCdb[[#This Row],[FL]]&lt;UIoptions!$T$16),1,0))</f>
        <v>0</v>
      </c>
      <c r="BJ61" s="38" t="e">
        <f>IF(OR(UIoptions!$Q$18=PCdb[[#This Row],[THRU_SCREW]],UIoptions!$Q$18="NA"),1,0)</f>
        <v>#N/A</v>
      </c>
      <c r="BK61" s="38">
        <f>IF(OR(UIoptions!$P$19=PCdb[[#This Row],[THREAD_SZ]],UIoptions!$P$19="NA"),1,0)</f>
        <v>1</v>
      </c>
      <c r="BL61" s="38">
        <f>IF(UIoptions!$N$75=1,1,IF(AND(PCdb[[#This Row],[THREAD_L]]&gt;UIoptions!$S$17,PCdb[[#This Row],[THREAD_L]]&lt;UIoptions!$T$17),1,0))</f>
        <v>1</v>
      </c>
      <c r="BM61" s="38" t="e">
        <f>IF(SUM(PCdb[[#This Row],[BDhit]:[THREAD_Lhit]])=11,1,0)</f>
        <v>#N/A</v>
      </c>
      <c r="BN6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756041122.770NA9M5NANA4</v>
      </c>
      <c r="BO61" s="38" t="e">
        <f>SUM(PCdb[[#This Row],[BDhit]:[THREAD_Lhit]])</f>
        <v>#N/A</v>
      </c>
    </row>
    <row r="62" spans="1:67" x14ac:dyDescent="0.25">
      <c r="A62" s="7">
        <v>59</v>
      </c>
      <c r="B62" s="93">
        <v>70</v>
      </c>
      <c r="C62" s="93">
        <v>50</v>
      </c>
      <c r="D62" s="93">
        <v>4</v>
      </c>
      <c r="E62" s="93">
        <v>12</v>
      </c>
      <c r="F62" s="93">
        <v>30</v>
      </c>
      <c r="G62" s="93">
        <v>60</v>
      </c>
      <c r="H62" s="93" t="s">
        <v>87</v>
      </c>
      <c r="I62" s="93">
        <v>6</v>
      </c>
      <c r="J62" s="93" t="s">
        <v>45</v>
      </c>
      <c r="K62" s="93" t="s">
        <v>87</v>
      </c>
      <c r="L62" s="93" t="s">
        <v>87</v>
      </c>
      <c r="M62" s="93">
        <v>4</v>
      </c>
      <c r="N62" s="38" t="s">
        <v>45</v>
      </c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>
        <f>IF(AND(PCdb[[#This Row],[BCD]]&gt;UIoptions!$S$10,PCdb[[#This Row],[BCD]]&lt;UIoptions!$T$10),1,0)</f>
        <v>0</v>
      </c>
      <c r="BC62" s="38">
        <f>IF(AND(PCdb[[#This Row],[PD]]&gt;UIoptions!$S$11,PCdb[[#This Row],[PD]]&lt;UIoptions!$T$11),1,0)</f>
        <v>0</v>
      </c>
      <c r="BD62" s="38">
        <f>IF(AND(UIoptions!$P$14&lt;=PCdb[[#This Row],[PL (MAX)]],UIoptions!$P$14&gt;UIoptions!$S$14),1,0)</f>
        <v>1</v>
      </c>
      <c r="BE62" s="38">
        <f>IF(AND(PCdb[[#This Row],[SD]]&gt;UIoptions!$S$12,PCdb[[#This Row],[SD]]&lt;UIoptions!$T$12),1,0)</f>
        <v>0</v>
      </c>
      <c r="BF62" s="38">
        <f>IF(AND(PCdb[[#This Row],[SL]]&gt;UIoptions!$S$13,PCdb[[#This Row],[SL]]&lt;UIoptions!$T$13),1,0)</f>
        <v>0</v>
      </c>
      <c r="BG62" s="38">
        <f>IF(UIoptions!$N$35=1,IF(AND(PCdb[[#This Row],[SQ_SZ]]&gt;UIoptions!$S$15,PCdb[[#This Row],[SQ_SZ]]&lt;UIoptions!$T$15),1,0),1)</f>
        <v>0</v>
      </c>
      <c r="BH62" s="38">
        <f>IF(UIoptions!$N$35=2,IF(AND(PCdb[[#This Row],[ROUND_D]]&gt;UIoptions!$S$15,PCdb[[#This Row],[ROUND_D]]&lt;UIoptions!$T$15),1,0),1)</f>
        <v>1</v>
      </c>
      <c r="BI62" s="38">
        <f>IF(UIoptions!$N$75&lt;&gt;1,1,IF(AND(PCdb[[#This Row],[FL]]&gt;UIoptions!$S$16,PCdb[[#This Row],[FL]]&lt;UIoptions!$T$16),1,0))</f>
        <v>0</v>
      </c>
      <c r="BJ62" s="38" t="e">
        <f>IF(OR(UIoptions!$Q$18=PCdb[[#This Row],[THRU_SCREW]],UIoptions!$Q$18="NA"),1,0)</f>
        <v>#N/A</v>
      </c>
      <c r="BK62" s="38">
        <f>IF(OR(UIoptions!$P$19=PCdb[[#This Row],[THREAD_SZ]],UIoptions!$P$19="NA"),1,0)</f>
        <v>1</v>
      </c>
      <c r="BL62" s="38">
        <f>IF(UIoptions!$N$75=1,1,IF(AND(PCdb[[#This Row],[THREAD_L]]&gt;UIoptions!$S$17,PCdb[[#This Row],[THREAD_L]]&lt;UIoptions!$T$17),1,0))</f>
        <v>1</v>
      </c>
      <c r="BM62" s="38" t="e">
        <f>IF(SUM(PCdb[[#This Row],[BDhit]:[THREAD_Lhit]])=11,1,0)</f>
        <v>#N/A</v>
      </c>
      <c r="BN6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70504123060NA6M5NANA4</v>
      </c>
      <c r="BO62" s="38" t="e">
        <f>SUM(PCdb[[#This Row],[BDhit]:[THREAD_Lhit]])</f>
        <v>#N/A</v>
      </c>
    </row>
    <row r="63" spans="1:67" x14ac:dyDescent="0.25">
      <c r="A63" s="7">
        <v>60</v>
      </c>
      <c r="B63" s="93">
        <v>66.7</v>
      </c>
      <c r="C63" s="93">
        <v>38.1</v>
      </c>
      <c r="D63" s="93">
        <v>4</v>
      </c>
      <c r="E63" s="93">
        <v>12.7</v>
      </c>
      <c r="F63" s="93">
        <v>38.1</v>
      </c>
      <c r="G63" s="93">
        <v>60</v>
      </c>
      <c r="H63" s="93" t="s">
        <v>87</v>
      </c>
      <c r="I63" s="93">
        <v>6</v>
      </c>
      <c r="J63" s="93" t="s">
        <v>45</v>
      </c>
      <c r="K63" s="93" t="s">
        <v>87</v>
      </c>
      <c r="L63" s="93" t="s">
        <v>87</v>
      </c>
      <c r="M63" s="93">
        <v>4</v>
      </c>
      <c r="N63" s="38" t="s">
        <v>45</v>
      </c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>
        <f>IF(AND(PCdb[[#This Row],[BCD]]&gt;UIoptions!$S$10,PCdb[[#This Row],[BCD]]&lt;UIoptions!$T$10),1,0)</f>
        <v>0</v>
      </c>
      <c r="BC63" s="38">
        <f>IF(AND(PCdb[[#This Row],[PD]]&gt;UIoptions!$S$11,PCdb[[#This Row],[PD]]&lt;UIoptions!$T$11),1,0)</f>
        <v>0</v>
      </c>
      <c r="BD63" s="38">
        <f>IF(AND(UIoptions!$P$14&lt;=PCdb[[#This Row],[PL (MAX)]],UIoptions!$P$14&gt;UIoptions!$S$14),1,0)</f>
        <v>1</v>
      </c>
      <c r="BE63" s="38">
        <f>IF(AND(PCdb[[#This Row],[SD]]&gt;UIoptions!$S$12,PCdb[[#This Row],[SD]]&lt;UIoptions!$T$12),1,0)</f>
        <v>0</v>
      </c>
      <c r="BF63" s="38">
        <f>IF(AND(PCdb[[#This Row],[SL]]&gt;UIoptions!$S$13,PCdb[[#This Row],[SL]]&lt;UIoptions!$T$13),1,0)</f>
        <v>0</v>
      </c>
      <c r="BG63" s="38">
        <f>IF(UIoptions!$N$35=1,IF(AND(PCdb[[#This Row],[SQ_SZ]]&gt;UIoptions!$S$15,PCdb[[#This Row],[SQ_SZ]]&lt;UIoptions!$T$15),1,0),1)</f>
        <v>0</v>
      </c>
      <c r="BH63" s="38">
        <f>IF(UIoptions!$N$35=2,IF(AND(PCdb[[#This Row],[ROUND_D]]&gt;UIoptions!$S$15,PCdb[[#This Row],[ROUND_D]]&lt;UIoptions!$T$15),1,0),1)</f>
        <v>1</v>
      </c>
      <c r="BI63" s="38">
        <f>IF(UIoptions!$N$75&lt;&gt;1,1,IF(AND(PCdb[[#This Row],[FL]]&gt;UIoptions!$S$16,PCdb[[#This Row],[FL]]&lt;UIoptions!$T$16),1,0))</f>
        <v>0</v>
      </c>
      <c r="BJ63" s="38" t="e">
        <f>IF(OR(UIoptions!$Q$18=PCdb[[#This Row],[THRU_SCREW]],UIoptions!$Q$18="NA"),1,0)</f>
        <v>#N/A</v>
      </c>
      <c r="BK63" s="38">
        <f>IF(OR(UIoptions!$P$19=PCdb[[#This Row],[THREAD_SZ]],UIoptions!$P$19="NA"),1,0)</f>
        <v>1</v>
      </c>
      <c r="BL63" s="38">
        <f>IF(UIoptions!$N$75=1,1,IF(AND(PCdb[[#This Row],[THREAD_L]]&gt;UIoptions!$S$17,PCdb[[#This Row],[THREAD_L]]&lt;UIoptions!$T$17),1,0))</f>
        <v>1</v>
      </c>
      <c r="BM63" s="38" t="e">
        <f>IF(SUM(PCdb[[#This Row],[BDhit]:[THREAD_Lhit]])=11,1,0)</f>
        <v>#N/A</v>
      </c>
      <c r="BN6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66.738.1412.738.160NA6M5NANA4</v>
      </c>
      <c r="BO63" s="38" t="e">
        <f>SUM(PCdb[[#This Row],[BDhit]:[THREAD_Lhit]])</f>
        <v>#N/A</v>
      </c>
    </row>
    <row r="64" spans="1:67" x14ac:dyDescent="0.25">
      <c r="A64" s="7">
        <v>61</v>
      </c>
      <c r="B64" s="93">
        <v>66.7</v>
      </c>
      <c r="C64" s="93">
        <v>38.1</v>
      </c>
      <c r="D64" s="93">
        <v>4</v>
      </c>
      <c r="E64" s="93">
        <v>6.35</v>
      </c>
      <c r="F64" s="93">
        <v>20.6</v>
      </c>
      <c r="G64" s="93">
        <v>56</v>
      </c>
      <c r="H64" s="93" t="s">
        <v>87</v>
      </c>
      <c r="I64" s="93">
        <v>5</v>
      </c>
      <c r="J64" s="93" t="s">
        <v>7</v>
      </c>
      <c r="K64" s="93" t="s">
        <v>87</v>
      </c>
      <c r="L64" s="93" t="s">
        <v>87</v>
      </c>
      <c r="M64" s="93">
        <v>4</v>
      </c>
      <c r="N64" s="38" t="s">
        <v>7</v>
      </c>
      <c r="O64" s="38">
        <v>38.700000000000003</v>
      </c>
      <c r="P64" s="38">
        <v>22</v>
      </c>
      <c r="Q64" s="38">
        <v>0</v>
      </c>
      <c r="R64" s="38" t="s">
        <v>130</v>
      </c>
      <c r="S64" s="38" t="s">
        <v>172</v>
      </c>
      <c r="T64" s="38">
        <v>45</v>
      </c>
      <c r="U64" s="38">
        <v>90</v>
      </c>
      <c r="V64" s="38" t="s">
        <v>87</v>
      </c>
      <c r="W64" s="38">
        <v>26</v>
      </c>
      <c r="X64" s="25">
        <v>45.2</v>
      </c>
      <c r="Y64" s="38" t="s">
        <v>130</v>
      </c>
      <c r="Z64" s="38" t="s">
        <v>172</v>
      </c>
      <c r="AA64" s="38">
        <v>45</v>
      </c>
      <c r="AB64" s="38">
        <v>90</v>
      </c>
      <c r="AC64" s="38"/>
      <c r="AD64" s="38"/>
      <c r="AE64" s="38"/>
      <c r="AF64" s="38"/>
      <c r="AG64" s="38"/>
      <c r="AH64" s="38"/>
      <c r="AI64" s="38"/>
      <c r="AJ64" s="38">
        <v>22</v>
      </c>
      <c r="AK64" s="38">
        <v>0</v>
      </c>
      <c r="AL64" s="38" t="s">
        <v>130</v>
      </c>
      <c r="AM64" s="38" t="s">
        <v>177</v>
      </c>
      <c r="AN64" s="38">
        <v>45</v>
      </c>
      <c r="AO64" s="38">
        <v>90</v>
      </c>
      <c r="AP64" s="38">
        <v>22</v>
      </c>
      <c r="AQ64" s="38" t="s">
        <v>87</v>
      </c>
      <c r="AR64" s="38" t="s">
        <v>130</v>
      </c>
      <c r="AS64" s="38" t="s">
        <v>176</v>
      </c>
      <c r="AT64" s="38">
        <v>45</v>
      </c>
      <c r="AU64" s="38">
        <v>90</v>
      </c>
      <c r="AV64" s="38">
        <v>22</v>
      </c>
      <c r="AW64" s="38">
        <v>0</v>
      </c>
      <c r="AX64" s="38" t="s">
        <v>130</v>
      </c>
      <c r="AY64" s="38" t="s">
        <v>176</v>
      </c>
      <c r="AZ64" s="38">
        <v>45</v>
      </c>
      <c r="BA64" s="38">
        <v>90</v>
      </c>
      <c r="BB64" s="38">
        <f>IF(AND(PCdb[[#This Row],[BCD]]&gt;UIoptions!$S$10,PCdb[[#This Row],[BCD]]&lt;UIoptions!$T$10),1,0)</f>
        <v>0</v>
      </c>
      <c r="BC64" s="38">
        <f>IF(AND(PCdb[[#This Row],[PD]]&gt;UIoptions!$S$11,PCdb[[#This Row],[PD]]&lt;UIoptions!$T$11),1,0)</f>
        <v>0</v>
      </c>
      <c r="BD64" s="38">
        <f>IF(AND(UIoptions!$P$14&lt;=PCdb[[#This Row],[PL (MAX)]],UIoptions!$P$14&gt;UIoptions!$S$14),1,0)</f>
        <v>1</v>
      </c>
      <c r="BE64" s="38">
        <f>IF(AND(PCdb[[#This Row],[SD]]&gt;UIoptions!$S$12,PCdb[[#This Row],[SD]]&lt;UIoptions!$T$12),1,0)</f>
        <v>0</v>
      </c>
      <c r="BF64" s="38">
        <f>IF(AND(PCdb[[#This Row],[SL]]&gt;UIoptions!$S$13,PCdb[[#This Row],[SL]]&lt;UIoptions!$T$13),1,0)</f>
        <v>0</v>
      </c>
      <c r="BG64" s="38">
        <f>IF(UIoptions!$N$35=1,IF(AND(PCdb[[#This Row],[SQ_SZ]]&gt;UIoptions!$S$15,PCdb[[#This Row],[SQ_SZ]]&lt;UIoptions!$T$15),1,0),1)</f>
        <v>0</v>
      </c>
      <c r="BH64" s="38">
        <f>IF(UIoptions!$N$35=2,IF(AND(PCdb[[#This Row],[ROUND_D]]&gt;UIoptions!$S$15,PCdb[[#This Row],[ROUND_D]]&lt;UIoptions!$T$15),1,0),1)</f>
        <v>1</v>
      </c>
      <c r="BI64" s="38">
        <f>IF(UIoptions!$N$75&lt;&gt;1,1,IF(AND(PCdb[[#This Row],[FL]]&gt;UIoptions!$S$16,PCdb[[#This Row],[FL]]&lt;UIoptions!$T$16),1,0))</f>
        <v>0</v>
      </c>
      <c r="BJ64" s="38" t="e">
        <f>IF(OR(UIoptions!$Q$18=PCdb[[#This Row],[THRU_SCREW]],UIoptions!$Q$18="NA"),1,0)</f>
        <v>#N/A</v>
      </c>
      <c r="BK64" s="38">
        <f>IF(OR(UIoptions!$P$19=PCdb[[#This Row],[THREAD_SZ]],UIoptions!$P$19="NA"),1,0)</f>
        <v>1</v>
      </c>
      <c r="BL64" s="38">
        <f>IF(UIoptions!$N$75=1,1,IF(AND(PCdb[[#This Row],[THREAD_L]]&gt;UIoptions!$S$17,PCdb[[#This Row],[THREAD_L]]&lt;UIoptions!$T$17),1,0))</f>
        <v>1</v>
      </c>
      <c r="BM64" s="38" t="e">
        <f>IF(SUM(PCdb[[#This Row],[BDhit]:[THREAD_Lhit]])=11,1,0)</f>
        <v>#N/A</v>
      </c>
      <c r="BN6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66.738.146.3520.656NA5M4NANA4</v>
      </c>
      <c r="BO64" s="38" t="e">
        <f>SUM(PCdb[[#This Row],[BDhit]:[THREAD_Lhit]])</f>
        <v>#N/A</v>
      </c>
    </row>
    <row r="65" spans="1:67" x14ac:dyDescent="0.25">
      <c r="A65" s="7">
        <v>62</v>
      </c>
      <c r="B65" s="93">
        <v>46</v>
      </c>
      <c r="C65" s="93">
        <v>30</v>
      </c>
      <c r="D65" s="93">
        <v>4</v>
      </c>
      <c r="E65" s="93">
        <v>6</v>
      </c>
      <c r="F65" s="93">
        <v>25</v>
      </c>
      <c r="G65" s="93">
        <v>40</v>
      </c>
      <c r="H65" s="93" t="s">
        <v>87</v>
      </c>
      <c r="I65" s="93">
        <v>5</v>
      </c>
      <c r="J65" s="93" t="s">
        <v>7</v>
      </c>
      <c r="K65" s="93" t="s">
        <v>87</v>
      </c>
      <c r="L65" s="93" t="s">
        <v>87</v>
      </c>
      <c r="M65" s="93">
        <v>4</v>
      </c>
      <c r="N65" s="38" t="s">
        <v>7</v>
      </c>
      <c r="O65" s="38"/>
      <c r="P65" s="38"/>
      <c r="Q65" s="38"/>
      <c r="R65" s="38"/>
      <c r="S65" s="38"/>
      <c r="T65" s="38"/>
      <c r="U65" s="38"/>
      <c r="V65" s="25">
        <v>41.7</v>
      </c>
      <c r="W65" s="38">
        <v>15.5</v>
      </c>
      <c r="X65" s="38" t="s">
        <v>87</v>
      </c>
      <c r="Y65" s="38" t="s">
        <v>130</v>
      </c>
      <c r="Z65" s="38" t="s">
        <v>171</v>
      </c>
      <c r="AA65" s="38">
        <v>45</v>
      </c>
      <c r="AB65" s="38">
        <v>90</v>
      </c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>
        <f>IF(AND(PCdb[[#This Row],[BCD]]&gt;UIoptions!$S$10,PCdb[[#This Row],[BCD]]&lt;UIoptions!$T$10),1,0)</f>
        <v>0</v>
      </c>
      <c r="BC65" s="38">
        <f>IF(AND(PCdb[[#This Row],[PD]]&gt;UIoptions!$S$11,PCdb[[#This Row],[PD]]&lt;UIoptions!$T$11),1,0)</f>
        <v>0</v>
      </c>
      <c r="BD65" s="38">
        <f>IF(AND(UIoptions!$P$14&lt;=PCdb[[#This Row],[PL (MAX)]],UIoptions!$P$14&gt;UIoptions!$S$14),1,0)</f>
        <v>1</v>
      </c>
      <c r="BE65" s="38">
        <f>IF(AND(PCdb[[#This Row],[SD]]&gt;UIoptions!$S$12,PCdb[[#This Row],[SD]]&lt;UIoptions!$T$12),1,0)</f>
        <v>0</v>
      </c>
      <c r="BF65" s="38">
        <f>IF(AND(PCdb[[#This Row],[SL]]&gt;UIoptions!$S$13,PCdb[[#This Row],[SL]]&lt;UIoptions!$T$13),1,0)</f>
        <v>0</v>
      </c>
      <c r="BG65" s="38">
        <f>IF(UIoptions!$N$35=1,IF(AND(PCdb[[#This Row],[SQ_SZ]]&gt;UIoptions!$S$15,PCdb[[#This Row],[SQ_SZ]]&lt;UIoptions!$T$15),1,0),1)</f>
        <v>0</v>
      </c>
      <c r="BH65" s="38">
        <f>IF(UIoptions!$N$35=2,IF(AND(PCdb[[#This Row],[ROUND_D]]&gt;UIoptions!$S$15,PCdb[[#This Row],[ROUND_D]]&lt;UIoptions!$T$15),1,0),1)</f>
        <v>1</v>
      </c>
      <c r="BI65" s="38">
        <f>IF(UIoptions!$N$75&lt;&gt;1,1,IF(AND(PCdb[[#This Row],[FL]]&gt;UIoptions!$S$16,PCdb[[#This Row],[FL]]&lt;UIoptions!$T$16),1,0))</f>
        <v>0</v>
      </c>
      <c r="BJ65" s="38" t="e">
        <f>IF(OR(UIoptions!$Q$18=PCdb[[#This Row],[THRU_SCREW]],UIoptions!$Q$18="NA"),1,0)</f>
        <v>#N/A</v>
      </c>
      <c r="BK65" s="38">
        <f>IF(OR(UIoptions!$P$19=PCdb[[#This Row],[THREAD_SZ]],UIoptions!$P$19="NA"),1,0)</f>
        <v>1</v>
      </c>
      <c r="BL65" s="38">
        <f>IF(UIoptions!$N$75=1,1,IF(AND(PCdb[[#This Row],[THREAD_L]]&gt;UIoptions!$S$17,PCdb[[#This Row],[THREAD_L]]&lt;UIoptions!$T$17),1,0))</f>
        <v>1</v>
      </c>
      <c r="BM65" s="38" t="e">
        <f>IF(SUM(PCdb[[#This Row],[BDhit]:[THREAD_Lhit]])=11,1,0)</f>
        <v>#N/A</v>
      </c>
      <c r="BN6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4630462540NA5M4NANA4</v>
      </c>
      <c r="BO65" s="38" t="e">
        <f>SUM(PCdb[[#This Row],[BDhit]:[THREAD_Lhit]])</f>
        <v>#N/A</v>
      </c>
    </row>
    <row r="66" spans="1:67" x14ac:dyDescent="0.25">
      <c r="A66" s="7">
        <v>63</v>
      </c>
      <c r="B66" s="93">
        <v>70</v>
      </c>
      <c r="C66" s="93">
        <v>50</v>
      </c>
      <c r="D66" s="93">
        <v>4</v>
      </c>
      <c r="E66" s="93">
        <v>14</v>
      </c>
      <c r="F66" s="93">
        <v>30</v>
      </c>
      <c r="G66" s="93">
        <v>60</v>
      </c>
      <c r="H66" s="93" t="s">
        <v>87</v>
      </c>
      <c r="I66" s="93">
        <v>6</v>
      </c>
      <c r="J66" s="93" t="s">
        <v>45</v>
      </c>
      <c r="K66" s="93" t="s">
        <v>87</v>
      </c>
      <c r="L66" s="93" t="s">
        <v>87</v>
      </c>
      <c r="M66" s="93">
        <v>4</v>
      </c>
      <c r="N66" s="38" t="s">
        <v>45</v>
      </c>
      <c r="O66" s="38" t="s">
        <v>87</v>
      </c>
      <c r="P66" s="38" t="s">
        <v>87</v>
      </c>
      <c r="Q66" s="38" t="s">
        <v>87</v>
      </c>
      <c r="R66" s="38" t="s">
        <v>87</v>
      </c>
      <c r="S66" s="38" t="s">
        <v>87</v>
      </c>
      <c r="T66" s="38" t="s">
        <v>87</v>
      </c>
      <c r="U66" s="38" t="s">
        <v>87</v>
      </c>
      <c r="V66" s="25">
        <v>41.7</v>
      </c>
      <c r="W66" s="38">
        <v>27</v>
      </c>
      <c r="X66" s="38" t="s">
        <v>87</v>
      </c>
      <c r="Y66" s="38" t="s">
        <v>130</v>
      </c>
      <c r="Z66" s="38" t="s">
        <v>172</v>
      </c>
      <c r="AA66" s="38">
        <v>45</v>
      </c>
      <c r="AB66" s="38">
        <v>90</v>
      </c>
      <c r="AC66" s="38">
        <v>48.7</v>
      </c>
      <c r="AD66" s="38" t="s">
        <v>87</v>
      </c>
      <c r="AE66" s="38" t="s">
        <v>87</v>
      </c>
      <c r="AF66" s="38" t="s">
        <v>180</v>
      </c>
      <c r="AG66" s="38" t="s">
        <v>171</v>
      </c>
      <c r="AH66" s="38">
        <v>45</v>
      </c>
      <c r="AI66" s="38">
        <v>90</v>
      </c>
      <c r="AJ66" s="38" t="s">
        <v>87</v>
      </c>
      <c r="AK66" s="38" t="s">
        <v>87</v>
      </c>
      <c r="AL66" s="38" t="s">
        <v>87</v>
      </c>
      <c r="AM66" s="38" t="s">
        <v>87</v>
      </c>
      <c r="AN66" s="38" t="s">
        <v>87</v>
      </c>
      <c r="AO66" s="38" t="s">
        <v>87</v>
      </c>
      <c r="AP66" s="38">
        <v>28</v>
      </c>
      <c r="AQ66" s="38">
        <v>0</v>
      </c>
      <c r="AR66" s="38" t="s">
        <v>130</v>
      </c>
      <c r="AS66" s="38" t="s">
        <v>176</v>
      </c>
      <c r="AT66" s="38">
        <v>45</v>
      </c>
      <c r="AU66" s="38">
        <v>90</v>
      </c>
      <c r="AV66" s="38">
        <v>28</v>
      </c>
      <c r="AW66" s="38">
        <v>0</v>
      </c>
      <c r="AX66" s="38" t="s">
        <v>130</v>
      </c>
      <c r="AY66" s="38" t="s">
        <v>176</v>
      </c>
      <c r="AZ66" s="38">
        <v>45</v>
      </c>
      <c r="BA66" s="38">
        <v>90</v>
      </c>
      <c r="BB66" s="38">
        <f>IF(AND(PCdb[[#This Row],[BCD]]&gt;UIoptions!$S$10,PCdb[[#This Row],[BCD]]&lt;UIoptions!$T$10),1,0)</f>
        <v>0</v>
      </c>
      <c r="BC66" s="38">
        <f>IF(AND(PCdb[[#This Row],[PD]]&gt;UIoptions!$S$11,PCdb[[#This Row],[PD]]&lt;UIoptions!$T$11),1,0)</f>
        <v>0</v>
      </c>
      <c r="BD66" s="38">
        <f>IF(AND(UIoptions!$P$14&lt;=PCdb[[#This Row],[PL (MAX)]],UIoptions!$P$14&gt;UIoptions!$S$14),1,0)</f>
        <v>1</v>
      </c>
      <c r="BE66" s="38">
        <f>IF(AND(PCdb[[#This Row],[SD]]&gt;UIoptions!$S$12,PCdb[[#This Row],[SD]]&lt;UIoptions!$T$12),1,0)</f>
        <v>0</v>
      </c>
      <c r="BF66" s="38">
        <f>IF(AND(PCdb[[#This Row],[SL]]&gt;UIoptions!$S$13,PCdb[[#This Row],[SL]]&lt;UIoptions!$T$13),1,0)</f>
        <v>0</v>
      </c>
      <c r="BG66" s="38">
        <f>IF(UIoptions!$N$35=1,IF(AND(PCdb[[#This Row],[SQ_SZ]]&gt;UIoptions!$S$15,PCdb[[#This Row],[SQ_SZ]]&lt;UIoptions!$T$15),1,0),1)</f>
        <v>0</v>
      </c>
      <c r="BH66" s="38">
        <f>IF(UIoptions!$N$35=2,IF(AND(PCdb[[#This Row],[ROUND_D]]&gt;UIoptions!$S$15,PCdb[[#This Row],[ROUND_D]]&lt;UIoptions!$T$15),1,0),1)</f>
        <v>1</v>
      </c>
      <c r="BI66" s="38">
        <f>IF(UIoptions!$N$75&lt;&gt;1,1,IF(AND(PCdb[[#This Row],[FL]]&gt;UIoptions!$S$16,PCdb[[#This Row],[FL]]&lt;UIoptions!$T$16),1,0))</f>
        <v>0</v>
      </c>
      <c r="BJ66" s="38" t="e">
        <f>IF(OR(UIoptions!$Q$18=PCdb[[#This Row],[THRU_SCREW]],UIoptions!$Q$18="NA"),1,0)</f>
        <v>#N/A</v>
      </c>
      <c r="BK66" s="38">
        <f>IF(OR(UIoptions!$P$19=PCdb[[#This Row],[THREAD_SZ]],UIoptions!$P$19="NA"),1,0)</f>
        <v>1</v>
      </c>
      <c r="BL66" s="38">
        <f>IF(UIoptions!$N$75=1,1,IF(AND(PCdb[[#This Row],[THREAD_L]]&gt;UIoptions!$S$17,PCdb[[#This Row],[THREAD_L]]&lt;UIoptions!$T$17),1,0))</f>
        <v>1</v>
      </c>
      <c r="BM66" s="38" t="e">
        <f>IF(SUM(PCdb[[#This Row],[BDhit]:[THREAD_Lhit]])=11,1,0)</f>
        <v>#N/A</v>
      </c>
      <c r="BN6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70504143060NA6M5NANA4</v>
      </c>
      <c r="BO66" s="38" t="e">
        <f>SUM(PCdb[[#This Row],[BDhit]:[THREAD_Lhit]])</f>
        <v>#N/A</v>
      </c>
    </row>
    <row r="67" spans="1:67" x14ac:dyDescent="0.25">
      <c r="A67" s="7">
        <v>64</v>
      </c>
      <c r="B67" s="93">
        <v>90</v>
      </c>
      <c r="C67" s="93">
        <v>70</v>
      </c>
      <c r="D67" s="93">
        <v>4</v>
      </c>
      <c r="E67" s="93">
        <v>16</v>
      </c>
      <c r="F67" s="93">
        <v>40</v>
      </c>
      <c r="G67" s="93">
        <v>76</v>
      </c>
      <c r="H67" s="93" t="s">
        <v>87</v>
      </c>
      <c r="I67" s="93">
        <v>8</v>
      </c>
      <c r="J67" s="93" t="s">
        <v>45</v>
      </c>
      <c r="K67" s="93" t="s">
        <v>87</v>
      </c>
      <c r="L67" s="93" t="s">
        <v>87</v>
      </c>
      <c r="M67" s="93">
        <v>4</v>
      </c>
      <c r="N67" s="38" t="s">
        <v>45</v>
      </c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>
        <f>IF(AND(PCdb[[#This Row],[BCD]]&gt;UIoptions!$S$10,PCdb[[#This Row],[BCD]]&lt;UIoptions!$T$10),1,0)</f>
        <v>0</v>
      </c>
      <c r="BC67" s="38">
        <f>IF(AND(PCdb[[#This Row],[PD]]&gt;UIoptions!$S$11,PCdb[[#This Row],[PD]]&lt;UIoptions!$T$11),1,0)</f>
        <v>0</v>
      </c>
      <c r="BD67" s="38">
        <f>IF(AND(UIoptions!$P$14&lt;=PCdb[[#This Row],[PL (MAX)]],UIoptions!$P$14&gt;UIoptions!$S$14),1,0)</f>
        <v>1</v>
      </c>
      <c r="BE67" s="38">
        <f>IF(AND(PCdb[[#This Row],[SD]]&gt;UIoptions!$S$12,PCdb[[#This Row],[SD]]&lt;UIoptions!$T$12),1,0)</f>
        <v>0</v>
      </c>
      <c r="BF67" s="38">
        <f>IF(AND(PCdb[[#This Row],[SL]]&gt;UIoptions!$S$13,PCdb[[#This Row],[SL]]&lt;UIoptions!$T$13),1,0)</f>
        <v>0</v>
      </c>
      <c r="BG67" s="38">
        <f>IF(UIoptions!$N$35=1,IF(AND(PCdb[[#This Row],[SQ_SZ]]&gt;UIoptions!$S$15,PCdb[[#This Row],[SQ_SZ]]&lt;UIoptions!$T$15),1,0),1)</f>
        <v>0</v>
      </c>
      <c r="BH67" s="38">
        <f>IF(UIoptions!$N$35=2,IF(AND(PCdb[[#This Row],[ROUND_D]]&gt;UIoptions!$S$15,PCdb[[#This Row],[ROUND_D]]&lt;UIoptions!$T$15),1,0),1)</f>
        <v>1</v>
      </c>
      <c r="BI67" s="38">
        <f>IF(UIoptions!$N$75&lt;&gt;1,1,IF(AND(PCdb[[#This Row],[FL]]&gt;UIoptions!$S$16,PCdb[[#This Row],[FL]]&lt;UIoptions!$T$16),1,0))</f>
        <v>0</v>
      </c>
      <c r="BJ67" s="38" t="e">
        <f>IF(OR(UIoptions!$Q$18=PCdb[[#This Row],[THRU_SCREW]],UIoptions!$Q$18="NA"),1,0)</f>
        <v>#N/A</v>
      </c>
      <c r="BK67" s="38">
        <f>IF(OR(UIoptions!$P$19=PCdb[[#This Row],[THREAD_SZ]],UIoptions!$P$19="NA"),1,0)</f>
        <v>1</v>
      </c>
      <c r="BL67" s="38">
        <f>IF(UIoptions!$N$75=1,1,IF(AND(PCdb[[#This Row],[THREAD_L]]&gt;UIoptions!$S$17,PCdb[[#This Row],[THREAD_L]]&lt;UIoptions!$T$17),1,0))</f>
        <v>1</v>
      </c>
      <c r="BM67" s="38" t="e">
        <f>IF(SUM(PCdb[[#This Row],[BDhit]:[THREAD_Lhit]])=11,1,0)</f>
        <v>#N/A</v>
      </c>
      <c r="BN6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90704164076NA8M5NANA4</v>
      </c>
      <c r="BO67" s="38" t="e">
        <f>SUM(PCdb[[#This Row],[BDhit]:[THREAD_Lhit]])</f>
        <v>#N/A</v>
      </c>
    </row>
    <row r="68" spans="1:67" x14ac:dyDescent="0.25">
      <c r="A68" s="7">
        <v>65</v>
      </c>
      <c r="B68" s="93">
        <v>90</v>
      </c>
      <c r="C68" s="93">
        <v>70</v>
      </c>
      <c r="D68" s="93">
        <v>4</v>
      </c>
      <c r="E68" s="93">
        <v>16</v>
      </c>
      <c r="F68" s="93">
        <v>40</v>
      </c>
      <c r="G68" s="93">
        <v>80</v>
      </c>
      <c r="H68" s="93" t="s">
        <v>87</v>
      </c>
      <c r="I68" s="93">
        <v>8</v>
      </c>
      <c r="J68" s="93" t="s">
        <v>49</v>
      </c>
      <c r="K68" s="93" t="s">
        <v>87</v>
      </c>
      <c r="L68" s="93" t="s">
        <v>87</v>
      </c>
      <c r="M68" s="93">
        <v>4</v>
      </c>
      <c r="N68" s="38" t="s">
        <v>49</v>
      </c>
      <c r="O68" s="38" t="s">
        <v>87</v>
      </c>
      <c r="P68" s="38" t="s">
        <v>87</v>
      </c>
      <c r="Q68" s="38" t="s">
        <v>87</v>
      </c>
      <c r="R68" s="38" t="s">
        <v>87</v>
      </c>
      <c r="S68" s="38" t="s">
        <v>87</v>
      </c>
      <c r="T68" s="38" t="s">
        <v>87</v>
      </c>
      <c r="U68" s="38" t="s">
        <v>87</v>
      </c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 t="s">
        <v>87</v>
      </c>
      <c r="AK68" s="38" t="s">
        <v>87</v>
      </c>
      <c r="AL68" s="38" t="s">
        <v>87</v>
      </c>
      <c r="AM68" s="38" t="s">
        <v>87</v>
      </c>
      <c r="AN68" s="38" t="s">
        <v>87</v>
      </c>
      <c r="AO68" s="38" t="s">
        <v>87</v>
      </c>
      <c r="AP68" s="38" t="s">
        <v>87</v>
      </c>
      <c r="AQ68" s="38" t="s">
        <v>87</v>
      </c>
      <c r="AR68" s="38" t="s">
        <v>87</v>
      </c>
      <c r="AS68" s="38" t="s">
        <v>87</v>
      </c>
      <c r="AT68" s="38" t="s">
        <v>87</v>
      </c>
      <c r="AU68" s="38" t="s">
        <v>87</v>
      </c>
      <c r="AV68" s="38">
        <v>37</v>
      </c>
      <c r="AW68" s="38">
        <v>0</v>
      </c>
      <c r="AX68" s="38" t="s">
        <v>130</v>
      </c>
      <c r="AY68" s="38" t="s">
        <v>177</v>
      </c>
      <c r="AZ68" s="38">
        <v>45</v>
      </c>
      <c r="BA68" s="38">
        <v>90</v>
      </c>
      <c r="BB68" s="38">
        <f>IF(AND(PCdb[[#This Row],[BCD]]&gt;UIoptions!$S$10,PCdb[[#This Row],[BCD]]&lt;UIoptions!$T$10),1,0)</f>
        <v>0</v>
      </c>
      <c r="BC68" s="38">
        <f>IF(AND(PCdb[[#This Row],[PD]]&gt;UIoptions!$S$11,PCdb[[#This Row],[PD]]&lt;UIoptions!$T$11),1,0)</f>
        <v>0</v>
      </c>
      <c r="BD68" s="38">
        <f>IF(AND(UIoptions!$P$14&lt;=PCdb[[#This Row],[PL (MAX)]],UIoptions!$P$14&gt;UIoptions!$S$14),1,0)</f>
        <v>1</v>
      </c>
      <c r="BE68" s="38">
        <f>IF(AND(PCdb[[#This Row],[SD]]&gt;UIoptions!$S$12,PCdb[[#This Row],[SD]]&lt;UIoptions!$T$12),1,0)</f>
        <v>0</v>
      </c>
      <c r="BF68" s="38">
        <f>IF(AND(PCdb[[#This Row],[SL]]&gt;UIoptions!$S$13,PCdb[[#This Row],[SL]]&lt;UIoptions!$T$13),1,0)</f>
        <v>0</v>
      </c>
      <c r="BG68" s="38">
        <f>IF(UIoptions!$N$35=1,IF(AND(PCdb[[#This Row],[SQ_SZ]]&gt;UIoptions!$S$15,PCdb[[#This Row],[SQ_SZ]]&lt;UIoptions!$T$15),1,0),1)</f>
        <v>0</v>
      </c>
      <c r="BH68" s="38">
        <f>IF(UIoptions!$N$35=2,IF(AND(PCdb[[#This Row],[ROUND_D]]&gt;UIoptions!$S$15,PCdb[[#This Row],[ROUND_D]]&lt;UIoptions!$T$15),1,0),1)</f>
        <v>1</v>
      </c>
      <c r="BI68" s="38">
        <f>IF(UIoptions!$N$75&lt;&gt;1,1,IF(AND(PCdb[[#This Row],[FL]]&gt;UIoptions!$S$16,PCdb[[#This Row],[FL]]&lt;UIoptions!$T$16),1,0))</f>
        <v>0</v>
      </c>
      <c r="BJ68" s="38" t="e">
        <f>IF(OR(UIoptions!$Q$18=PCdb[[#This Row],[THRU_SCREW]],UIoptions!$Q$18="NA"),1,0)</f>
        <v>#N/A</v>
      </c>
      <c r="BK68" s="38">
        <f>IF(OR(UIoptions!$P$19=PCdb[[#This Row],[THREAD_SZ]],UIoptions!$P$19="NA"),1,0)</f>
        <v>1</v>
      </c>
      <c r="BL68" s="38">
        <f>IF(UIoptions!$N$75=1,1,IF(AND(PCdb[[#This Row],[THREAD_L]]&gt;UIoptions!$S$17,PCdb[[#This Row],[THREAD_L]]&lt;UIoptions!$T$17),1,0))</f>
        <v>1</v>
      </c>
      <c r="BM68" s="38" t="e">
        <f>IF(SUM(PCdb[[#This Row],[BDhit]:[THREAD_Lhit]])=11,1,0)</f>
        <v>#N/A</v>
      </c>
      <c r="BN6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90704164080NA8M6NANA4</v>
      </c>
      <c r="BO68" s="38" t="e">
        <f>SUM(PCdb[[#This Row],[BDhit]:[THREAD_Lhit]])</f>
        <v>#N/A</v>
      </c>
    </row>
    <row r="69" spans="1:67" x14ac:dyDescent="0.25">
      <c r="A69" s="7">
        <v>66</v>
      </c>
      <c r="B69" s="93">
        <v>48</v>
      </c>
      <c r="C69" s="93">
        <v>34</v>
      </c>
      <c r="D69" s="93">
        <v>4</v>
      </c>
      <c r="E69" s="93">
        <v>7</v>
      </c>
      <c r="F69" s="93">
        <v>24</v>
      </c>
      <c r="G69" s="93">
        <v>42</v>
      </c>
      <c r="H69" s="93" t="s">
        <v>87</v>
      </c>
      <c r="I69" s="93">
        <v>5</v>
      </c>
      <c r="J69" s="93" t="s">
        <v>105</v>
      </c>
      <c r="K69" s="93" t="s">
        <v>87</v>
      </c>
      <c r="L69" s="93" t="s">
        <v>87</v>
      </c>
      <c r="M69" s="93">
        <v>4</v>
      </c>
      <c r="N69" s="38" t="s">
        <v>105</v>
      </c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>
        <f>IF(AND(PCdb[[#This Row],[BCD]]&gt;UIoptions!$S$10,PCdb[[#This Row],[BCD]]&lt;UIoptions!$T$10),1,0)</f>
        <v>0</v>
      </c>
      <c r="BC69" s="38">
        <f>IF(AND(PCdb[[#This Row],[PD]]&gt;UIoptions!$S$11,PCdb[[#This Row],[PD]]&lt;UIoptions!$T$11),1,0)</f>
        <v>0</v>
      </c>
      <c r="BD69" s="38">
        <f>IF(AND(UIoptions!$P$14&lt;=PCdb[[#This Row],[PL (MAX)]],UIoptions!$P$14&gt;UIoptions!$S$14),1,0)</f>
        <v>1</v>
      </c>
      <c r="BE69" s="38">
        <f>IF(AND(PCdb[[#This Row],[SD]]&gt;UIoptions!$S$12,PCdb[[#This Row],[SD]]&lt;UIoptions!$T$12),1,0)</f>
        <v>0</v>
      </c>
      <c r="BF69" s="38">
        <f>IF(AND(PCdb[[#This Row],[SL]]&gt;UIoptions!$S$13,PCdb[[#This Row],[SL]]&lt;UIoptions!$T$13),1,0)</f>
        <v>0</v>
      </c>
      <c r="BG69" s="38">
        <f>IF(UIoptions!$N$35=1,IF(AND(PCdb[[#This Row],[SQ_SZ]]&gt;UIoptions!$S$15,PCdb[[#This Row],[SQ_SZ]]&lt;UIoptions!$T$15),1,0),1)</f>
        <v>0</v>
      </c>
      <c r="BH69" s="38">
        <f>IF(UIoptions!$N$35=2,IF(AND(PCdb[[#This Row],[ROUND_D]]&gt;UIoptions!$S$15,PCdb[[#This Row],[ROUND_D]]&lt;UIoptions!$T$15),1,0),1)</f>
        <v>1</v>
      </c>
      <c r="BI69" s="38">
        <f>IF(UIoptions!$N$75&lt;&gt;1,1,IF(AND(PCdb[[#This Row],[FL]]&gt;UIoptions!$S$16,PCdb[[#This Row],[FL]]&lt;UIoptions!$T$16),1,0))</f>
        <v>0</v>
      </c>
      <c r="BJ69" s="38" t="e">
        <f>IF(OR(UIoptions!$Q$18=PCdb[[#This Row],[THRU_SCREW]],UIoptions!$Q$18="NA"),1,0)</f>
        <v>#N/A</v>
      </c>
      <c r="BK69" s="38">
        <f>IF(OR(UIoptions!$P$19=PCdb[[#This Row],[THREAD_SZ]],UIoptions!$P$19="NA"),1,0)</f>
        <v>1</v>
      </c>
      <c r="BL69" s="38">
        <f>IF(UIoptions!$N$75=1,1,IF(AND(PCdb[[#This Row],[THREAD_L]]&gt;UIoptions!$S$17,PCdb[[#This Row],[THREAD_L]]&lt;UIoptions!$T$17),1,0))</f>
        <v>1</v>
      </c>
      <c r="BM69" s="38" t="e">
        <f>IF(SUM(PCdb[[#This Row],[BDhit]:[THREAD_Lhit]])=11,1,0)</f>
        <v>#N/A</v>
      </c>
      <c r="BN6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4834472442NA5M3NANA4</v>
      </c>
      <c r="BO69" s="38" t="e">
        <f>SUM(PCdb[[#This Row],[BDhit]:[THREAD_Lhit]])</f>
        <v>#N/A</v>
      </c>
    </row>
    <row r="70" spans="1:67" x14ac:dyDescent="0.25">
      <c r="A70" s="7">
        <v>67</v>
      </c>
      <c r="B70" s="93">
        <v>60</v>
      </c>
      <c r="C70" s="93">
        <v>50</v>
      </c>
      <c r="D70" s="93">
        <v>4</v>
      </c>
      <c r="E70" s="93">
        <v>8</v>
      </c>
      <c r="F70" s="93">
        <v>24</v>
      </c>
      <c r="G70" s="93">
        <v>54</v>
      </c>
      <c r="H70" s="93" t="s">
        <v>87</v>
      </c>
      <c r="I70" s="93">
        <v>5</v>
      </c>
      <c r="J70" s="93" t="s">
        <v>7</v>
      </c>
      <c r="K70" s="93" t="s">
        <v>87</v>
      </c>
      <c r="L70" s="93" t="s">
        <v>87</v>
      </c>
      <c r="M70" s="93">
        <v>4</v>
      </c>
      <c r="N70" s="38" t="s">
        <v>7</v>
      </c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>
        <f>IF(AND(PCdb[[#This Row],[BCD]]&gt;UIoptions!$S$10,PCdb[[#This Row],[BCD]]&lt;UIoptions!$T$10),1,0)</f>
        <v>0</v>
      </c>
      <c r="BC70" s="38">
        <f>IF(AND(PCdb[[#This Row],[PD]]&gt;UIoptions!$S$11,PCdb[[#This Row],[PD]]&lt;UIoptions!$T$11),1,0)</f>
        <v>0</v>
      </c>
      <c r="BD70" s="38">
        <f>IF(AND(UIoptions!$P$14&lt;=PCdb[[#This Row],[PL (MAX)]],UIoptions!$P$14&gt;UIoptions!$S$14),1,0)</f>
        <v>1</v>
      </c>
      <c r="BE70" s="38">
        <f>IF(AND(PCdb[[#This Row],[SD]]&gt;UIoptions!$S$12,PCdb[[#This Row],[SD]]&lt;UIoptions!$T$12),1,0)</f>
        <v>0</v>
      </c>
      <c r="BF70" s="38">
        <f>IF(AND(PCdb[[#This Row],[SL]]&gt;UIoptions!$S$13,PCdb[[#This Row],[SL]]&lt;UIoptions!$T$13),1,0)</f>
        <v>0</v>
      </c>
      <c r="BG70" s="38">
        <f>IF(UIoptions!$N$35=1,IF(AND(PCdb[[#This Row],[SQ_SZ]]&gt;UIoptions!$S$15,PCdb[[#This Row],[SQ_SZ]]&lt;UIoptions!$T$15),1,0),1)</f>
        <v>0</v>
      </c>
      <c r="BH70" s="38">
        <f>IF(UIoptions!$N$35=2,IF(AND(PCdb[[#This Row],[ROUND_D]]&gt;UIoptions!$S$15,PCdb[[#This Row],[ROUND_D]]&lt;UIoptions!$T$15),1,0),1)</f>
        <v>1</v>
      </c>
      <c r="BI70" s="38">
        <f>IF(UIoptions!$N$75&lt;&gt;1,1,IF(AND(PCdb[[#This Row],[FL]]&gt;UIoptions!$S$16,PCdb[[#This Row],[FL]]&lt;UIoptions!$T$16),1,0))</f>
        <v>0</v>
      </c>
      <c r="BJ70" s="38" t="e">
        <f>IF(OR(UIoptions!$Q$18=PCdb[[#This Row],[THRU_SCREW]],UIoptions!$Q$18="NA"),1,0)</f>
        <v>#N/A</v>
      </c>
      <c r="BK70" s="38">
        <f>IF(OR(UIoptions!$P$19=PCdb[[#This Row],[THREAD_SZ]],UIoptions!$P$19="NA"),1,0)</f>
        <v>1</v>
      </c>
      <c r="BL70" s="38">
        <f>IF(UIoptions!$N$75=1,1,IF(AND(PCdb[[#This Row],[THREAD_L]]&gt;UIoptions!$S$17,PCdb[[#This Row],[THREAD_L]]&lt;UIoptions!$T$17),1,0))</f>
        <v>1</v>
      </c>
      <c r="BM70" s="38" t="e">
        <f>IF(SUM(PCdb[[#This Row],[BDhit]:[THREAD_Lhit]])=11,1,0)</f>
        <v>#N/A</v>
      </c>
      <c r="BN7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6050482454NA5M4NANA4</v>
      </c>
      <c r="BO70" s="38" t="e">
        <f>SUM(PCdb[[#This Row],[BDhit]:[THREAD_Lhit]])</f>
        <v>#N/A</v>
      </c>
    </row>
    <row r="71" spans="1:67" x14ac:dyDescent="0.25">
      <c r="A71" s="7">
        <v>68</v>
      </c>
      <c r="B71" s="93">
        <v>90</v>
      </c>
      <c r="C71" s="93">
        <v>70</v>
      </c>
      <c r="D71" s="93">
        <v>4</v>
      </c>
      <c r="E71" s="93">
        <v>14</v>
      </c>
      <c r="F71" s="93">
        <v>30</v>
      </c>
      <c r="G71" s="93">
        <v>76</v>
      </c>
      <c r="H71" s="93" t="s">
        <v>87</v>
      </c>
      <c r="I71" s="93">
        <v>8</v>
      </c>
      <c r="J71" s="93" t="s">
        <v>45</v>
      </c>
      <c r="K71" s="93" t="s">
        <v>87</v>
      </c>
      <c r="L71" s="93" t="s">
        <v>87</v>
      </c>
      <c r="M71" s="93">
        <v>4</v>
      </c>
      <c r="N71" s="38" t="s">
        <v>45</v>
      </c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>
        <f>IF(AND(PCdb[[#This Row],[BCD]]&gt;UIoptions!$S$10,PCdb[[#This Row],[BCD]]&lt;UIoptions!$T$10),1,0)</f>
        <v>0</v>
      </c>
      <c r="BC71" s="38">
        <f>IF(AND(PCdb[[#This Row],[PD]]&gt;UIoptions!$S$11,PCdb[[#This Row],[PD]]&lt;UIoptions!$T$11),1,0)</f>
        <v>0</v>
      </c>
      <c r="BD71" s="38">
        <f>IF(AND(UIoptions!$P$14&lt;=PCdb[[#This Row],[PL (MAX)]],UIoptions!$P$14&gt;UIoptions!$S$14),1,0)</f>
        <v>1</v>
      </c>
      <c r="BE71" s="38">
        <f>IF(AND(PCdb[[#This Row],[SD]]&gt;UIoptions!$S$12,PCdb[[#This Row],[SD]]&lt;UIoptions!$T$12),1,0)</f>
        <v>0</v>
      </c>
      <c r="BF71" s="38">
        <f>IF(AND(PCdb[[#This Row],[SL]]&gt;UIoptions!$S$13,PCdb[[#This Row],[SL]]&lt;UIoptions!$T$13),1,0)</f>
        <v>0</v>
      </c>
      <c r="BG71" s="38">
        <f>IF(UIoptions!$N$35=1,IF(AND(PCdb[[#This Row],[SQ_SZ]]&gt;UIoptions!$S$15,PCdb[[#This Row],[SQ_SZ]]&lt;UIoptions!$T$15),1,0),1)</f>
        <v>0</v>
      </c>
      <c r="BH71" s="38">
        <f>IF(UIoptions!$N$35=2,IF(AND(PCdb[[#This Row],[ROUND_D]]&gt;UIoptions!$S$15,PCdb[[#This Row],[ROUND_D]]&lt;UIoptions!$T$15),1,0),1)</f>
        <v>1</v>
      </c>
      <c r="BI71" s="38">
        <f>IF(UIoptions!$N$75&lt;&gt;1,1,IF(AND(PCdb[[#This Row],[FL]]&gt;UIoptions!$S$16,PCdb[[#This Row],[FL]]&lt;UIoptions!$T$16),1,0))</f>
        <v>0</v>
      </c>
      <c r="BJ71" s="38" t="e">
        <f>IF(OR(UIoptions!$Q$18=PCdb[[#This Row],[THRU_SCREW]],UIoptions!$Q$18="NA"),1,0)</f>
        <v>#N/A</v>
      </c>
      <c r="BK71" s="38">
        <f>IF(OR(UIoptions!$P$19=PCdb[[#This Row],[THREAD_SZ]],UIoptions!$P$19="NA"),1,0)</f>
        <v>1</v>
      </c>
      <c r="BL71" s="38">
        <f>IF(UIoptions!$N$75=1,1,IF(AND(PCdb[[#This Row],[THREAD_L]]&gt;UIoptions!$S$17,PCdb[[#This Row],[THREAD_L]]&lt;UIoptions!$T$17),1,0))</f>
        <v>1</v>
      </c>
      <c r="BM71" s="38" t="e">
        <f>IF(SUM(PCdb[[#This Row],[BDhit]:[THREAD_Lhit]])=11,1,0)</f>
        <v>#N/A</v>
      </c>
      <c r="BN7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90704143076NA8M5NANA4</v>
      </c>
      <c r="BO71" s="38" t="e">
        <f>SUM(PCdb[[#This Row],[BDhit]:[THREAD_Lhit]])</f>
        <v>#N/A</v>
      </c>
    </row>
    <row r="72" spans="1:67" x14ac:dyDescent="0.25">
      <c r="A72" s="7">
        <v>69</v>
      </c>
      <c r="B72" s="93">
        <v>100</v>
      </c>
      <c r="C72" s="93">
        <v>80</v>
      </c>
      <c r="D72" s="93">
        <v>4</v>
      </c>
      <c r="E72" s="93">
        <v>16</v>
      </c>
      <c r="F72" s="93">
        <v>35</v>
      </c>
      <c r="G72" s="93">
        <v>86</v>
      </c>
      <c r="H72" s="93" t="s">
        <v>87</v>
      </c>
      <c r="I72" s="93">
        <v>8</v>
      </c>
      <c r="J72" s="93" t="s">
        <v>49</v>
      </c>
      <c r="K72" s="93" t="s">
        <v>87</v>
      </c>
      <c r="L72" s="93" t="s">
        <v>87</v>
      </c>
      <c r="M72" s="93">
        <v>4</v>
      </c>
      <c r="N72" s="38" t="s">
        <v>49</v>
      </c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25">
        <v>48.7</v>
      </c>
      <c r="AD72" s="38">
        <v>41</v>
      </c>
      <c r="AE72" s="38" t="s">
        <v>87</v>
      </c>
      <c r="AF72" s="38" t="s">
        <v>130</v>
      </c>
      <c r="AG72" s="38" t="s">
        <v>172</v>
      </c>
      <c r="AH72" s="38">
        <v>45</v>
      </c>
      <c r="AI72" s="38">
        <v>90</v>
      </c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>
        <v>41.5</v>
      </c>
      <c r="AW72" s="38" t="s">
        <v>87</v>
      </c>
      <c r="AX72" s="38" t="s">
        <v>130</v>
      </c>
      <c r="AY72" s="38" t="s">
        <v>177</v>
      </c>
      <c r="AZ72" s="38">
        <v>45</v>
      </c>
      <c r="BA72" s="38">
        <v>90</v>
      </c>
      <c r="BB72" s="38">
        <f>IF(AND(PCdb[[#This Row],[BCD]]&gt;UIoptions!$S$10,PCdb[[#This Row],[BCD]]&lt;UIoptions!$T$10),1,0)</f>
        <v>0</v>
      </c>
      <c r="BC72" s="38">
        <f>IF(AND(PCdb[[#This Row],[PD]]&gt;UIoptions!$S$11,PCdb[[#This Row],[PD]]&lt;UIoptions!$T$11),1,0)</f>
        <v>0</v>
      </c>
      <c r="BD72" s="38">
        <f>IF(AND(UIoptions!$P$14&lt;=PCdb[[#This Row],[PL (MAX)]],UIoptions!$P$14&gt;UIoptions!$S$14),1,0)</f>
        <v>1</v>
      </c>
      <c r="BE72" s="38">
        <f>IF(AND(PCdb[[#This Row],[SD]]&gt;UIoptions!$S$12,PCdb[[#This Row],[SD]]&lt;UIoptions!$T$12),1,0)</f>
        <v>0</v>
      </c>
      <c r="BF72" s="38">
        <f>IF(AND(PCdb[[#This Row],[SL]]&gt;UIoptions!$S$13,PCdb[[#This Row],[SL]]&lt;UIoptions!$T$13),1,0)</f>
        <v>0</v>
      </c>
      <c r="BG72" s="38">
        <f>IF(UIoptions!$N$35=1,IF(AND(PCdb[[#This Row],[SQ_SZ]]&gt;UIoptions!$S$15,PCdb[[#This Row],[SQ_SZ]]&lt;UIoptions!$T$15),1,0),1)</f>
        <v>0</v>
      </c>
      <c r="BH72" s="38">
        <f>IF(UIoptions!$N$35=2,IF(AND(PCdb[[#This Row],[ROUND_D]]&gt;UIoptions!$S$15,PCdb[[#This Row],[ROUND_D]]&lt;UIoptions!$T$15),1,0),1)</f>
        <v>1</v>
      </c>
      <c r="BI72" s="38">
        <f>IF(UIoptions!$N$75&lt;&gt;1,1,IF(AND(PCdb[[#This Row],[FL]]&gt;UIoptions!$S$16,PCdb[[#This Row],[FL]]&lt;UIoptions!$T$16),1,0))</f>
        <v>0</v>
      </c>
      <c r="BJ72" s="38" t="e">
        <f>IF(OR(UIoptions!$Q$18=PCdb[[#This Row],[THRU_SCREW]],UIoptions!$Q$18="NA"),1,0)</f>
        <v>#N/A</v>
      </c>
      <c r="BK72" s="38">
        <f>IF(OR(UIoptions!$P$19=PCdb[[#This Row],[THREAD_SZ]],UIoptions!$P$19="NA"),1,0)</f>
        <v>1</v>
      </c>
      <c r="BL72" s="38">
        <f>IF(UIoptions!$N$75=1,1,IF(AND(PCdb[[#This Row],[THREAD_L]]&gt;UIoptions!$S$17,PCdb[[#This Row],[THREAD_L]]&lt;UIoptions!$T$17),1,0))</f>
        <v>1</v>
      </c>
      <c r="BM72" s="38" t="e">
        <f>IF(SUM(PCdb[[#This Row],[BDhit]:[THREAD_Lhit]])=11,1,0)</f>
        <v>#N/A</v>
      </c>
      <c r="BN7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100804163586NA8M6NANA4</v>
      </c>
      <c r="BO72" s="38" t="e">
        <f>SUM(PCdb[[#This Row],[BDhit]:[THREAD_Lhit]])</f>
        <v>#N/A</v>
      </c>
    </row>
    <row r="73" spans="1:67" x14ac:dyDescent="0.25">
      <c r="A73" s="7">
        <v>70</v>
      </c>
      <c r="B73" s="93">
        <v>98.4</v>
      </c>
      <c r="C73" s="93">
        <v>73.03</v>
      </c>
      <c r="D73" s="93">
        <v>4</v>
      </c>
      <c r="E73" s="93">
        <v>14</v>
      </c>
      <c r="F73" s="93">
        <v>30</v>
      </c>
      <c r="G73" s="93">
        <v>85.5</v>
      </c>
      <c r="H73" s="93" t="s">
        <v>87</v>
      </c>
      <c r="I73" s="93">
        <v>8</v>
      </c>
      <c r="J73" s="93" t="s">
        <v>45</v>
      </c>
      <c r="K73" s="93" t="s">
        <v>87</v>
      </c>
      <c r="L73" s="93" t="s">
        <v>87</v>
      </c>
      <c r="M73" s="93">
        <v>4</v>
      </c>
      <c r="N73" s="38" t="s">
        <v>45</v>
      </c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>
        <v>40</v>
      </c>
      <c r="AW73" s="38" t="s">
        <v>87</v>
      </c>
      <c r="AX73" s="38" t="s">
        <v>130</v>
      </c>
      <c r="AY73" s="38" t="s">
        <v>177</v>
      </c>
      <c r="AZ73" s="38">
        <v>45</v>
      </c>
      <c r="BA73" s="38">
        <v>90</v>
      </c>
      <c r="BB73" s="38">
        <f>IF(AND(PCdb[[#This Row],[BCD]]&gt;UIoptions!$S$10,PCdb[[#This Row],[BCD]]&lt;UIoptions!$T$10),1,0)</f>
        <v>0</v>
      </c>
      <c r="BC73" s="38">
        <f>IF(AND(PCdb[[#This Row],[PD]]&gt;UIoptions!$S$11,PCdb[[#This Row],[PD]]&lt;UIoptions!$T$11),1,0)</f>
        <v>0</v>
      </c>
      <c r="BD73" s="38">
        <f>IF(AND(UIoptions!$P$14&lt;=PCdb[[#This Row],[PL (MAX)]],UIoptions!$P$14&gt;UIoptions!$S$14),1,0)</f>
        <v>1</v>
      </c>
      <c r="BE73" s="38">
        <f>IF(AND(PCdb[[#This Row],[SD]]&gt;UIoptions!$S$12,PCdb[[#This Row],[SD]]&lt;UIoptions!$T$12),1,0)</f>
        <v>0</v>
      </c>
      <c r="BF73" s="38">
        <f>IF(AND(PCdb[[#This Row],[SL]]&gt;UIoptions!$S$13,PCdb[[#This Row],[SL]]&lt;UIoptions!$T$13),1,0)</f>
        <v>0</v>
      </c>
      <c r="BG73" s="38">
        <f>IF(UIoptions!$N$35=1,IF(AND(PCdb[[#This Row],[SQ_SZ]]&gt;UIoptions!$S$15,PCdb[[#This Row],[SQ_SZ]]&lt;UIoptions!$T$15),1,0),1)</f>
        <v>0</v>
      </c>
      <c r="BH73" s="38">
        <f>IF(UIoptions!$N$35=2,IF(AND(PCdb[[#This Row],[ROUND_D]]&gt;UIoptions!$S$15,PCdb[[#This Row],[ROUND_D]]&lt;UIoptions!$T$15),1,0),1)</f>
        <v>1</v>
      </c>
      <c r="BI73" s="38">
        <f>IF(UIoptions!$N$75&lt;&gt;1,1,IF(AND(PCdb[[#This Row],[FL]]&gt;UIoptions!$S$16,PCdb[[#This Row],[FL]]&lt;UIoptions!$T$16),1,0))</f>
        <v>0</v>
      </c>
      <c r="BJ73" s="38" t="e">
        <f>IF(OR(UIoptions!$Q$18=PCdb[[#This Row],[THRU_SCREW]],UIoptions!$Q$18="NA"),1,0)</f>
        <v>#N/A</v>
      </c>
      <c r="BK73" s="38">
        <f>IF(OR(UIoptions!$P$19=PCdb[[#This Row],[THREAD_SZ]],UIoptions!$P$19="NA"),1,0)</f>
        <v>1</v>
      </c>
      <c r="BL73" s="38">
        <f>IF(UIoptions!$N$75=1,1,IF(AND(PCdb[[#This Row],[THREAD_L]]&gt;UIoptions!$S$17,PCdb[[#This Row],[THREAD_L]]&lt;UIoptions!$T$17),1,0))</f>
        <v>1</v>
      </c>
      <c r="BM73" s="38" t="e">
        <f>IF(SUM(PCdb[[#This Row],[BDhit]:[THREAD_Lhit]])=11,1,0)</f>
        <v>#N/A</v>
      </c>
      <c r="BN7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98.473.034143085.5NA8M5NANA4</v>
      </c>
      <c r="BO73" s="38" t="e">
        <f>SUM(PCdb[[#This Row],[BDhit]:[THREAD_Lhit]])</f>
        <v>#N/A</v>
      </c>
    </row>
    <row r="74" spans="1:67" x14ac:dyDescent="0.25">
      <c r="A74" s="7">
        <v>71</v>
      </c>
      <c r="B74" s="93">
        <v>100</v>
      </c>
      <c r="C74" s="93">
        <v>80</v>
      </c>
      <c r="D74" s="93">
        <v>4</v>
      </c>
      <c r="E74" s="93">
        <v>14</v>
      </c>
      <c r="F74" s="93">
        <v>30</v>
      </c>
      <c r="G74" s="93">
        <v>82</v>
      </c>
      <c r="H74" s="93" t="s">
        <v>87</v>
      </c>
      <c r="I74" s="93">
        <v>10.5</v>
      </c>
      <c r="J74" s="93" t="s">
        <v>49</v>
      </c>
      <c r="K74" s="93" t="s">
        <v>87</v>
      </c>
      <c r="L74" s="93" t="s">
        <v>87</v>
      </c>
      <c r="M74" s="93">
        <v>4</v>
      </c>
      <c r="N74" s="38" t="s">
        <v>49</v>
      </c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>
        <f>IF(AND(PCdb[[#This Row],[BCD]]&gt;UIoptions!$S$10,PCdb[[#This Row],[BCD]]&lt;UIoptions!$T$10),1,0)</f>
        <v>0</v>
      </c>
      <c r="BC74" s="38">
        <f>IF(AND(PCdb[[#This Row],[PD]]&gt;UIoptions!$S$11,PCdb[[#This Row],[PD]]&lt;UIoptions!$T$11),1,0)</f>
        <v>0</v>
      </c>
      <c r="BD74" s="38">
        <f>IF(AND(UIoptions!$P$14&lt;=PCdb[[#This Row],[PL (MAX)]],UIoptions!$P$14&gt;UIoptions!$S$14),1,0)</f>
        <v>1</v>
      </c>
      <c r="BE74" s="38">
        <f>IF(AND(PCdb[[#This Row],[SD]]&gt;UIoptions!$S$12,PCdb[[#This Row],[SD]]&lt;UIoptions!$T$12),1,0)</f>
        <v>0</v>
      </c>
      <c r="BF74" s="38">
        <f>IF(AND(PCdb[[#This Row],[SL]]&gt;UIoptions!$S$13,PCdb[[#This Row],[SL]]&lt;UIoptions!$T$13),1,0)</f>
        <v>0</v>
      </c>
      <c r="BG74" s="38">
        <f>IF(UIoptions!$N$35=1,IF(AND(PCdb[[#This Row],[SQ_SZ]]&gt;UIoptions!$S$15,PCdb[[#This Row],[SQ_SZ]]&lt;UIoptions!$T$15),1,0),1)</f>
        <v>0</v>
      </c>
      <c r="BH74" s="38">
        <f>IF(UIoptions!$N$35=2,IF(AND(PCdb[[#This Row],[ROUND_D]]&gt;UIoptions!$S$15,PCdb[[#This Row],[ROUND_D]]&lt;UIoptions!$T$15),1,0),1)</f>
        <v>1</v>
      </c>
      <c r="BI74" s="38">
        <f>IF(UIoptions!$N$75&lt;&gt;1,1,IF(AND(PCdb[[#This Row],[FL]]&gt;UIoptions!$S$16,PCdb[[#This Row],[FL]]&lt;UIoptions!$T$16),1,0))</f>
        <v>0</v>
      </c>
      <c r="BJ74" s="38" t="e">
        <f>IF(OR(UIoptions!$Q$18=PCdb[[#This Row],[THRU_SCREW]],UIoptions!$Q$18="NA"),1,0)</f>
        <v>#N/A</v>
      </c>
      <c r="BK74" s="38">
        <f>IF(OR(UIoptions!$P$19=PCdb[[#This Row],[THREAD_SZ]],UIoptions!$P$19="NA"),1,0)</f>
        <v>1</v>
      </c>
      <c r="BL74" s="38">
        <f>IF(UIoptions!$N$75=1,1,IF(AND(PCdb[[#This Row],[THREAD_L]]&gt;UIoptions!$S$17,PCdb[[#This Row],[THREAD_L]]&lt;UIoptions!$T$17),1,0))</f>
        <v>1</v>
      </c>
      <c r="BM74" s="38" t="e">
        <f>IF(SUM(PCdb[[#This Row],[BDhit]:[THREAD_Lhit]])=11,1,0)</f>
        <v>#N/A</v>
      </c>
      <c r="BN7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100804143082NA10.5M6NANA4</v>
      </c>
      <c r="BO74" s="38" t="e">
        <f>SUM(PCdb[[#This Row],[BDhit]:[THREAD_Lhit]])</f>
        <v>#N/A</v>
      </c>
    </row>
    <row r="75" spans="1:67" x14ac:dyDescent="0.25">
      <c r="A75" s="7">
        <v>72</v>
      </c>
      <c r="B75" s="93">
        <v>63</v>
      </c>
      <c r="C75" s="93">
        <v>40</v>
      </c>
      <c r="D75" s="93">
        <v>4</v>
      </c>
      <c r="E75" s="93">
        <v>9</v>
      </c>
      <c r="F75" s="93">
        <v>20</v>
      </c>
      <c r="G75" s="93">
        <v>55</v>
      </c>
      <c r="H75" s="93" t="s">
        <v>87</v>
      </c>
      <c r="I75" s="93">
        <v>10</v>
      </c>
      <c r="J75" s="93" t="s">
        <v>45</v>
      </c>
      <c r="K75" s="93" t="s">
        <v>87</v>
      </c>
      <c r="L75" s="93" t="s">
        <v>87</v>
      </c>
      <c r="M75" s="93">
        <v>4</v>
      </c>
      <c r="N75" s="38" t="s">
        <v>45</v>
      </c>
      <c r="O75" s="38"/>
      <c r="P75" s="38"/>
      <c r="Q75" s="38"/>
      <c r="R75" s="38"/>
      <c r="S75" s="38"/>
      <c r="T75" s="38"/>
      <c r="U75" s="38"/>
      <c r="V75" s="38">
        <v>45.2</v>
      </c>
      <c r="W75" s="38">
        <v>25.5</v>
      </c>
      <c r="X75" s="38">
        <v>0</v>
      </c>
      <c r="Y75" s="38" t="s">
        <v>130</v>
      </c>
      <c r="Z75" s="38" t="s">
        <v>172</v>
      </c>
      <c r="AA75" s="38">
        <v>45</v>
      </c>
      <c r="AB75" s="38">
        <v>90</v>
      </c>
      <c r="AC75" s="38"/>
      <c r="AD75" s="38"/>
      <c r="AE75" s="38"/>
      <c r="AF75" s="38"/>
      <c r="AG75" s="38"/>
      <c r="AH75" s="38"/>
      <c r="AI75" s="38"/>
      <c r="AJ75" s="38">
        <v>24</v>
      </c>
      <c r="AK75" s="38">
        <v>0</v>
      </c>
      <c r="AL75" s="38" t="s">
        <v>130</v>
      </c>
      <c r="AM75" s="38" t="s">
        <v>177</v>
      </c>
      <c r="AN75" s="38">
        <v>45</v>
      </c>
      <c r="AO75" s="38">
        <v>90</v>
      </c>
      <c r="AP75" s="38">
        <v>25.5</v>
      </c>
      <c r="AQ75" s="38">
        <v>0</v>
      </c>
      <c r="AR75" s="38" t="s">
        <v>130</v>
      </c>
      <c r="AS75" s="38" t="s">
        <v>176</v>
      </c>
      <c r="AT75" s="38">
        <v>45</v>
      </c>
      <c r="AU75" s="38">
        <v>90</v>
      </c>
      <c r="AV75" s="38">
        <v>24</v>
      </c>
      <c r="AW75" s="38" t="s">
        <v>87</v>
      </c>
      <c r="AX75" s="38" t="s">
        <v>130</v>
      </c>
      <c r="AY75" s="38" t="s">
        <v>176</v>
      </c>
      <c r="AZ75" s="38">
        <v>45</v>
      </c>
      <c r="BA75" s="38">
        <v>90</v>
      </c>
      <c r="BB75" s="38">
        <f>IF(AND(PCdb[[#This Row],[BCD]]&gt;UIoptions!$S$10,PCdb[[#This Row],[BCD]]&lt;UIoptions!$T$10),1,0)</f>
        <v>0</v>
      </c>
      <c r="BC75" s="38">
        <f>IF(AND(PCdb[[#This Row],[PD]]&gt;UIoptions!$S$11,PCdb[[#This Row],[PD]]&lt;UIoptions!$T$11),1,0)</f>
        <v>0</v>
      </c>
      <c r="BD75" s="38">
        <f>IF(AND(UIoptions!$P$14&lt;=PCdb[[#This Row],[PL (MAX)]],UIoptions!$P$14&gt;UIoptions!$S$14),1,0)</f>
        <v>1</v>
      </c>
      <c r="BE75" s="38">
        <f>IF(AND(PCdb[[#This Row],[SD]]&gt;UIoptions!$S$12,PCdb[[#This Row],[SD]]&lt;UIoptions!$T$12),1,0)</f>
        <v>0</v>
      </c>
      <c r="BF75" s="38">
        <f>IF(AND(PCdb[[#This Row],[SL]]&gt;UIoptions!$S$13,PCdb[[#This Row],[SL]]&lt;UIoptions!$T$13),1,0)</f>
        <v>0</v>
      </c>
      <c r="BG75" s="38">
        <f>IF(UIoptions!$N$35=1,IF(AND(PCdb[[#This Row],[SQ_SZ]]&gt;UIoptions!$S$15,PCdb[[#This Row],[SQ_SZ]]&lt;UIoptions!$T$15),1,0),1)</f>
        <v>0</v>
      </c>
      <c r="BH75" s="38">
        <f>IF(UIoptions!$N$35=2,IF(AND(PCdb[[#This Row],[ROUND_D]]&gt;UIoptions!$S$15,PCdb[[#This Row],[ROUND_D]]&lt;UIoptions!$T$15),1,0),1)</f>
        <v>1</v>
      </c>
      <c r="BI75" s="38">
        <f>IF(UIoptions!$N$75&lt;&gt;1,1,IF(AND(PCdb[[#This Row],[FL]]&gt;UIoptions!$S$16,PCdb[[#This Row],[FL]]&lt;UIoptions!$T$16),1,0))</f>
        <v>0</v>
      </c>
      <c r="BJ75" s="38" t="e">
        <f>IF(OR(UIoptions!$Q$18=PCdb[[#This Row],[THRU_SCREW]],UIoptions!$Q$18="NA"),1,0)</f>
        <v>#N/A</v>
      </c>
      <c r="BK75" s="38">
        <f>IF(OR(UIoptions!$P$19=PCdb[[#This Row],[THREAD_SZ]],UIoptions!$P$19="NA"),1,0)</f>
        <v>1</v>
      </c>
      <c r="BL75" s="38">
        <f>IF(UIoptions!$N$75=1,1,IF(AND(PCdb[[#This Row],[THREAD_L]]&gt;UIoptions!$S$17,PCdb[[#This Row],[THREAD_L]]&lt;UIoptions!$T$17),1,0))</f>
        <v>1</v>
      </c>
      <c r="BM75" s="38" t="e">
        <f>IF(SUM(PCdb[[#This Row],[BDhit]:[THREAD_Lhit]])=11,1,0)</f>
        <v>#N/A</v>
      </c>
      <c r="BN7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6340492055NA10M5NANA4</v>
      </c>
      <c r="BO75" s="38" t="e">
        <f>SUM(PCdb[[#This Row],[BDhit]:[THREAD_Lhit]])</f>
        <v>#N/A</v>
      </c>
    </row>
    <row r="76" spans="1:67" x14ac:dyDescent="0.25">
      <c r="A76" s="7">
        <v>73</v>
      </c>
      <c r="B76" s="93">
        <v>75</v>
      </c>
      <c r="C76" s="93">
        <v>60</v>
      </c>
      <c r="D76" s="93">
        <v>4</v>
      </c>
      <c r="E76" s="93">
        <v>14</v>
      </c>
      <c r="F76" s="93">
        <v>30</v>
      </c>
      <c r="G76" s="93">
        <v>72</v>
      </c>
      <c r="H76" s="93" t="s">
        <v>87</v>
      </c>
      <c r="I76" s="93">
        <v>8</v>
      </c>
      <c r="J76" s="93" t="s">
        <v>49</v>
      </c>
      <c r="K76" s="93" t="s">
        <v>87</v>
      </c>
      <c r="L76" s="93" t="s">
        <v>87</v>
      </c>
      <c r="M76" s="93">
        <v>4</v>
      </c>
      <c r="N76" s="38" t="s">
        <v>49</v>
      </c>
      <c r="O76" s="38"/>
      <c r="P76" s="38"/>
      <c r="Q76" s="38"/>
      <c r="R76" s="38"/>
      <c r="S76" s="38"/>
      <c r="T76" s="38"/>
      <c r="U76" s="38"/>
      <c r="V76" s="38">
        <v>45.2</v>
      </c>
      <c r="W76" s="38">
        <v>32</v>
      </c>
      <c r="X76" s="38">
        <v>0</v>
      </c>
      <c r="Y76" s="38" t="s">
        <v>130</v>
      </c>
      <c r="Z76" s="38" t="s">
        <v>172</v>
      </c>
      <c r="AA76" s="38">
        <v>45</v>
      </c>
      <c r="AB76" s="38">
        <v>90</v>
      </c>
      <c r="AC76" s="25">
        <v>48.7</v>
      </c>
      <c r="AD76" s="38">
        <v>32</v>
      </c>
      <c r="AE76" s="38" t="s">
        <v>87</v>
      </c>
      <c r="AF76" s="38" t="s">
        <v>130</v>
      </c>
      <c r="AG76" s="38" t="s">
        <v>172</v>
      </c>
      <c r="AH76" s="38">
        <v>45</v>
      </c>
      <c r="AI76" s="38">
        <v>90</v>
      </c>
      <c r="AJ76" s="38"/>
      <c r="AK76" s="38"/>
      <c r="AL76" s="38"/>
      <c r="AM76" s="38"/>
      <c r="AN76" s="38"/>
      <c r="AO76" s="38"/>
      <c r="AP76" s="38">
        <v>32</v>
      </c>
      <c r="AQ76" s="38">
        <v>0</v>
      </c>
      <c r="AR76" s="38" t="s">
        <v>130</v>
      </c>
      <c r="AS76" s="38" t="s">
        <v>177</v>
      </c>
      <c r="AT76" s="38">
        <v>45</v>
      </c>
      <c r="AU76" s="38">
        <v>90</v>
      </c>
      <c r="AV76" s="38">
        <v>32</v>
      </c>
      <c r="AW76" s="38">
        <v>0</v>
      </c>
      <c r="AX76" s="38" t="s">
        <v>130</v>
      </c>
      <c r="AY76" s="38" t="s">
        <v>176</v>
      </c>
      <c r="AZ76" s="38">
        <v>45</v>
      </c>
      <c r="BA76" s="38">
        <v>90</v>
      </c>
      <c r="BB76" s="38">
        <v>1</v>
      </c>
      <c r="BC76" s="38">
        <v>1</v>
      </c>
      <c r="BD76" s="38">
        <f>IF(AND(UIoptions!$P$14&lt;=PCdb[[#This Row],[PL (MAX)]],UIoptions!$P$14&gt;UIoptions!$S$14),1,0)</f>
        <v>1</v>
      </c>
      <c r="BE76" s="38">
        <f>IF(AND(PCdb[[#This Row],[SD]]&gt;UIoptions!$S$12,PCdb[[#This Row],[SD]]&lt;UIoptions!$T$12),1,0)</f>
        <v>0</v>
      </c>
      <c r="BF76" s="38">
        <f>IF(AND(PCdb[[#This Row],[SL]]&gt;UIoptions!$S$13,PCdb[[#This Row],[SL]]&lt;UIoptions!$T$13),1,0)</f>
        <v>0</v>
      </c>
      <c r="BG76" s="38">
        <f>IF(UIoptions!$N$35=1,IF(AND(PCdb[[#This Row],[SQ_SZ]]&gt;UIoptions!$S$15,PCdb[[#This Row],[SQ_SZ]]&lt;UIoptions!$T$15),1,0),1)</f>
        <v>0</v>
      </c>
      <c r="BH76" s="38">
        <f>IF(UIoptions!$N$35=2,IF(AND(PCdb[[#This Row],[ROUND_D]]&gt;UIoptions!$S$15,PCdb[[#This Row],[ROUND_D]]&lt;UIoptions!$T$15),1,0),1)</f>
        <v>1</v>
      </c>
      <c r="BI76" s="38">
        <f>IF(UIoptions!$N$75&lt;&gt;1,1,IF(AND(PCdb[[#This Row],[FL]]&gt;UIoptions!$S$16,PCdb[[#This Row],[FL]]&lt;UIoptions!$T$16),1,0))</f>
        <v>0</v>
      </c>
      <c r="BJ76" s="38" t="e">
        <f>IF(OR(UIoptions!$Q$18=PCdb[[#This Row],[THRU_SCREW]],UIoptions!$Q$18="NA"),1,0)</f>
        <v>#N/A</v>
      </c>
      <c r="BK76" s="38">
        <f>IF(OR(UIoptions!$P$19=PCdb[[#This Row],[THREAD_SZ]],UIoptions!$P$19="NA"),1,0)</f>
        <v>1</v>
      </c>
      <c r="BL76" s="38">
        <f>IF(UIoptions!$N$75=1,1,IF(AND(PCdb[[#This Row],[THREAD_L]]&gt;UIoptions!$S$17,PCdb[[#This Row],[THREAD_L]]&lt;UIoptions!$T$17),1,0))</f>
        <v>1</v>
      </c>
      <c r="BM76" s="38" t="e">
        <f>IF(SUM(PCdb[[#This Row],[BDhit]:[THREAD_Lhit]])=11,1,0)</f>
        <v>#N/A</v>
      </c>
      <c r="BN7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75604143072NA8M6NANA4</v>
      </c>
      <c r="BO76" s="38" t="e">
        <f>SUM(PCdb[[#This Row],[BDhit]:[THREAD_Lhit]])</f>
        <v>#N/A</v>
      </c>
    </row>
    <row r="77" spans="1:67" x14ac:dyDescent="0.25">
      <c r="A77" s="7">
        <v>74</v>
      </c>
      <c r="B77" s="93">
        <v>66.7</v>
      </c>
      <c r="C77" s="93">
        <v>38.1</v>
      </c>
      <c r="D77" s="93">
        <v>4</v>
      </c>
      <c r="E77" s="93">
        <v>6.35</v>
      </c>
      <c r="F77" s="93">
        <v>20.6</v>
      </c>
      <c r="G77" s="93">
        <v>56.9</v>
      </c>
      <c r="H77" s="93" t="s">
        <v>87</v>
      </c>
      <c r="I77" s="93">
        <v>4.8</v>
      </c>
      <c r="J77" s="93" t="s">
        <v>7</v>
      </c>
      <c r="K77" s="93" t="s">
        <v>87</v>
      </c>
      <c r="L77" s="93" t="s">
        <v>87</v>
      </c>
      <c r="M77" s="93">
        <v>4</v>
      </c>
      <c r="N77" s="38" t="s">
        <v>7</v>
      </c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>
        <f>IF(AND(PCdb[[#This Row],[BCD]]&gt;UIoptions!$S$10,PCdb[[#This Row],[BCD]]&lt;UIoptions!$T$10),1,0)</f>
        <v>0</v>
      </c>
      <c r="BC77" s="38">
        <f>IF(AND(PCdb[[#This Row],[PD]]&gt;UIoptions!$S$11,PCdb[[#This Row],[PD]]&lt;UIoptions!$T$11),1,0)</f>
        <v>0</v>
      </c>
      <c r="BD77" s="38">
        <f>IF(AND(UIoptions!$P$14&lt;=PCdb[[#This Row],[PL (MAX)]],UIoptions!$P$14&gt;UIoptions!$S$14),1,0)</f>
        <v>1</v>
      </c>
      <c r="BE77" s="38">
        <f>IF(AND(PCdb[[#This Row],[SD]]&gt;UIoptions!$S$12,PCdb[[#This Row],[SD]]&lt;UIoptions!$T$12),1,0)</f>
        <v>0</v>
      </c>
      <c r="BF77" s="38">
        <f>IF(AND(PCdb[[#This Row],[SL]]&gt;UIoptions!$S$13,PCdb[[#This Row],[SL]]&lt;UIoptions!$T$13),1,0)</f>
        <v>0</v>
      </c>
      <c r="BG77" s="38">
        <f>IF(UIoptions!$N$35=1,IF(AND(PCdb[[#This Row],[SQ_SZ]]&gt;UIoptions!$S$15,PCdb[[#This Row],[SQ_SZ]]&lt;UIoptions!$T$15),1,0),1)</f>
        <v>0</v>
      </c>
      <c r="BH77" s="38">
        <f>IF(UIoptions!$N$35=2,IF(AND(PCdb[[#This Row],[ROUND_D]]&gt;UIoptions!$S$15,PCdb[[#This Row],[ROUND_D]]&lt;UIoptions!$T$15),1,0),1)</f>
        <v>1</v>
      </c>
      <c r="BI77" s="38">
        <f>IF(UIoptions!$N$75&lt;&gt;1,1,IF(AND(PCdb[[#This Row],[FL]]&gt;UIoptions!$S$16,PCdb[[#This Row],[FL]]&lt;UIoptions!$T$16),1,0))</f>
        <v>0</v>
      </c>
      <c r="BJ77" s="38" t="e">
        <f>IF(OR(UIoptions!$Q$18=PCdb[[#This Row],[THRU_SCREW]],UIoptions!$Q$18="NA"),1,0)</f>
        <v>#N/A</v>
      </c>
      <c r="BK77" s="38">
        <f>IF(OR(UIoptions!$P$19=PCdb[[#This Row],[THREAD_SZ]],UIoptions!$P$19="NA"),1,0)</f>
        <v>1</v>
      </c>
      <c r="BL77" s="38">
        <f>IF(UIoptions!$N$75=1,1,IF(AND(PCdb[[#This Row],[THREAD_L]]&gt;UIoptions!$S$17,PCdb[[#This Row],[THREAD_L]]&lt;UIoptions!$T$17),1,0))</f>
        <v>1</v>
      </c>
      <c r="BM77" s="38" t="e">
        <f>IF(SUM(PCdb[[#This Row],[BDhit]:[THREAD_Lhit]])=11,1,0)</f>
        <v>#N/A</v>
      </c>
      <c r="BN7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66.738.146.3520.656.9NA4.8M4NANA4</v>
      </c>
      <c r="BO77" s="38" t="e">
        <f>SUM(PCdb[[#This Row],[BDhit]:[THREAD_Lhit]])</f>
        <v>#N/A</v>
      </c>
    </row>
    <row r="78" spans="1:67" x14ac:dyDescent="0.25">
      <c r="A78" s="7">
        <v>75</v>
      </c>
      <c r="B78" s="93">
        <v>98.4</v>
      </c>
      <c r="C78" s="93">
        <v>73.03</v>
      </c>
      <c r="D78" s="93">
        <v>4</v>
      </c>
      <c r="E78" s="93">
        <v>9.5299999999999994</v>
      </c>
      <c r="F78" s="93">
        <v>30.2</v>
      </c>
      <c r="G78" s="93">
        <v>86</v>
      </c>
      <c r="H78" s="93" t="s">
        <v>87</v>
      </c>
      <c r="I78" s="93">
        <v>4.8</v>
      </c>
      <c r="J78" s="93" t="s">
        <v>45</v>
      </c>
      <c r="K78" s="93" t="s">
        <v>87</v>
      </c>
      <c r="L78" s="93" t="s">
        <v>87</v>
      </c>
      <c r="M78" s="93">
        <v>4</v>
      </c>
      <c r="N78" s="38" t="s">
        <v>45</v>
      </c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>
        <f>IF(AND(PCdb[[#This Row],[BCD]]&gt;UIoptions!$S$10,PCdb[[#This Row],[BCD]]&lt;UIoptions!$T$10),1,0)</f>
        <v>0</v>
      </c>
      <c r="BC78" s="38">
        <f>IF(AND(PCdb[[#This Row],[PD]]&gt;UIoptions!$S$11,PCdb[[#This Row],[PD]]&lt;UIoptions!$T$11),1,0)</f>
        <v>0</v>
      </c>
      <c r="BD78" s="38">
        <f>IF(AND(UIoptions!$P$14&lt;=PCdb[[#This Row],[PL (MAX)]],UIoptions!$P$14&gt;UIoptions!$S$14),1,0)</f>
        <v>1</v>
      </c>
      <c r="BE78" s="38">
        <f>IF(AND(PCdb[[#This Row],[SD]]&gt;UIoptions!$S$12,PCdb[[#This Row],[SD]]&lt;UIoptions!$T$12),1,0)</f>
        <v>0</v>
      </c>
      <c r="BF78" s="38">
        <f>IF(AND(PCdb[[#This Row],[SL]]&gt;UIoptions!$S$13,PCdb[[#This Row],[SL]]&lt;UIoptions!$T$13),1,0)</f>
        <v>0</v>
      </c>
      <c r="BG78" s="38">
        <f>IF(UIoptions!$N$35=1,IF(AND(PCdb[[#This Row],[SQ_SZ]]&gt;UIoptions!$S$15,PCdb[[#This Row],[SQ_SZ]]&lt;UIoptions!$T$15),1,0),1)</f>
        <v>0</v>
      </c>
      <c r="BH78" s="38">
        <f>IF(UIoptions!$N$35=2,IF(AND(PCdb[[#This Row],[ROUND_D]]&gt;UIoptions!$S$15,PCdb[[#This Row],[ROUND_D]]&lt;UIoptions!$T$15),1,0),1)</f>
        <v>1</v>
      </c>
      <c r="BI78" s="38">
        <f>IF(UIoptions!$N$75&lt;&gt;1,1,IF(AND(PCdb[[#This Row],[FL]]&gt;UIoptions!$S$16,PCdb[[#This Row],[FL]]&lt;UIoptions!$T$16),1,0))</f>
        <v>0</v>
      </c>
      <c r="BJ78" s="38" t="e">
        <f>IF(OR(UIoptions!$Q$18=PCdb[[#This Row],[THRU_SCREW]],UIoptions!$Q$18="NA"),1,0)</f>
        <v>#N/A</v>
      </c>
      <c r="BK78" s="38">
        <f>IF(OR(UIoptions!$P$19=PCdb[[#This Row],[THREAD_SZ]],UIoptions!$P$19="NA"),1,0)</f>
        <v>1</v>
      </c>
      <c r="BL78" s="38">
        <f>IF(UIoptions!$N$75=1,1,IF(AND(PCdb[[#This Row],[THREAD_L]]&gt;UIoptions!$S$17,PCdb[[#This Row],[THREAD_L]]&lt;UIoptions!$T$17),1,0))</f>
        <v>1</v>
      </c>
      <c r="BM78" s="38" t="e">
        <f>IF(SUM(PCdb[[#This Row],[BDhit]:[THREAD_Lhit]])=11,1,0)</f>
        <v>#N/A</v>
      </c>
      <c r="BN7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98.473.0349.5330.286NA4.8M5NANA4</v>
      </c>
      <c r="BO78" s="38" t="e">
        <f>SUM(PCdb[[#This Row],[BDhit]:[THREAD_Lhit]])</f>
        <v>#N/A</v>
      </c>
    </row>
    <row r="79" spans="1:67" x14ac:dyDescent="0.25">
      <c r="A79" s="7">
        <v>76</v>
      </c>
      <c r="B79" s="93">
        <v>70</v>
      </c>
      <c r="C79" s="93">
        <v>50</v>
      </c>
      <c r="D79" s="93">
        <v>4</v>
      </c>
      <c r="E79" s="93">
        <v>8</v>
      </c>
      <c r="F79" s="93">
        <v>25</v>
      </c>
      <c r="G79" s="93">
        <v>60</v>
      </c>
      <c r="H79" s="93" t="s">
        <v>87</v>
      </c>
      <c r="I79" s="93">
        <v>6</v>
      </c>
      <c r="J79" s="93" t="s">
        <v>45</v>
      </c>
      <c r="K79" s="93" t="s">
        <v>87</v>
      </c>
      <c r="L79" s="93" t="s">
        <v>87</v>
      </c>
      <c r="M79" s="93">
        <v>4</v>
      </c>
      <c r="N79" s="38" t="s">
        <v>45</v>
      </c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>
        <v>27</v>
      </c>
      <c r="AK79" s="38" t="s">
        <v>87</v>
      </c>
      <c r="AL79" s="38" t="s">
        <v>130</v>
      </c>
      <c r="AM79" s="38" t="s">
        <v>177</v>
      </c>
      <c r="AN79" s="38">
        <v>45</v>
      </c>
      <c r="AO79" s="38">
        <v>90</v>
      </c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>
        <f>IF(AND(PCdb[[#This Row],[BCD]]&gt;UIoptions!$S$10,PCdb[[#This Row],[BCD]]&lt;UIoptions!$T$10),1,0)</f>
        <v>0</v>
      </c>
      <c r="BC79" s="38">
        <f>IF(AND(PCdb[[#This Row],[PD]]&gt;UIoptions!$S$11,PCdb[[#This Row],[PD]]&lt;UIoptions!$T$11),1,0)</f>
        <v>0</v>
      </c>
      <c r="BD79" s="38">
        <f>IF(AND(UIoptions!$P$14&lt;=PCdb[[#This Row],[PL (MAX)]],UIoptions!$P$14&gt;UIoptions!$S$14),1,0)</f>
        <v>1</v>
      </c>
      <c r="BE79" s="38">
        <f>IF(AND(PCdb[[#This Row],[SD]]&gt;UIoptions!$S$12,PCdb[[#This Row],[SD]]&lt;UIoptions!$T$12),1,0)</f>
        <v>0</v>
      </c>
      <c r="BF79" s="38">
        <f>IF(AND(PCdb[[#This Row],[SL]]&gt;UIoptions!$S$13,PCdb[[#This Row],[SL]]&lt;UIoptions!$T$13),1,0)</f>
        <v>0</v>
      </c>
      <c r="BG79" s="38">
        <f>IF(UIoptions!$N$35=1,IF(AND(PCdb[[#This Row],[SQ_SZ]]&gt;UIoptions!$S$15,PCdb[[#This Row],[SQ_SZ]]&lt;UIoptions!$T$15),1,0),1)</f>
        <v>0</v>
      </c>
      <c r="BH79" s="38">
        <f>IF(UIoptions!$N$35=2,IF(AND(PCdb[[#This Row],[ROUND_D]]&gt;UIoptions!$S$15,PCdb[[#This Row],[ROUND_D]]&lt;UIoptions!$T$15),1,0),1)</f>
        <v>1</v>
      </c>
      <c r="BI79" s="38">
        <f>IF(UIoptions!$N$75&lt;&gt;1,1,IF(AND(PCdb[[#This Row],[FL]]&gt;UIoptions!$S$16,PCdb[[#This Row],[FL]]&lt;UIoptions!$T$16),1,0))</f>
        <v>0</v>
      </c>
      <c r="BJ79" s="38" t="e">
        <f>IF(OR(UIoptions!$Q$18=PCdb[[#This Row],[THRU_SCREW]],UIoptions!$Q$18="NA"),1,0)</f>
        <v>#N/A</v>
      </c>
      <c r="BK79" s="38">
        <f>IF(OR(UIoptions!$P$19=PCdb[[#This Row],[THREAD_SZ]],UIoptions!$P$19="NA"),1,0)</f>
        <v>1</v>
      </c>
      <c r="BL79" s="38">
        <f>IF(UIoptions!$N$75=1,1,IF(AND(PCdb[[#This Row],[THREAD_L]]&gt;UIoptions!$S$17,PCdb[[#This Row],[THREAD_L]]&lt;UIoptions!$T$17),1,0))</f>
        <v>1</v>
      </c>
      <c r="BM79" s="38" t="e">
        <f>IF(SUM(PCdb[[#This Row],[BDhit]:[THREAD_Lhit]])=11,1,0)</f>
        <v>#N/A</v>
      </c>
      <c r="BN7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7050482560NA6M5NANA4</v>
      </c>
      <c r="BO79" s="38" t="e">
        <f>SUM(PCdb[[#This Row],[BDhit]:[THREAD_Lhit]])</f>
        <v>#N/A</v>
      </c>
    </row>
    <row r="80" spans="1:67" x14ac:dyDescent="0.25">
      <c r="A80" s="7">
        <v>77</v>
      </c>
      <c r="B80" s="93">
        <v>90</v>
      </c>
      <c r="C80" s="93">
        <v>70</v>
      </c>
      <c r="D80" s="93">
        <v>4</v>
      </c>
      <c r="E80" s="93">
        <v>14</v>
      </c>
      <c r="F80" s="93">
        <v>30</v>
      </c>
      <c r="G80" s="93">
        <v>80</v>
      </c>
      <c r="H80" s="93" t="s">
        <v>87</v>
      </c>
      <c r="I80" s="93">
        <v>8</v>
      </c>
      <c r="J80" s="93" t="s">
        <v>49</v>
      </c>
      <c r="K80" s="93" t="s">
        <v>87</v>
      </c>
      <c r="L80" s="93" t="s">
        <v>87</v>
      </c>
      <c r="M80" s="93">
        <v>4</v>
      </c>
      <c r="N80" s="38" t="s">
        <v>49</v>
      </c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>
        <v>37</v>
      </c>
      <c r="AQ80" s="38" t="s">
        <v>87</v>
      </c>
      <c r="AR80" s="38" t="s">
        <v>130</v>
      </c>
      <c r="AS80" s="38" t="s">
        <v>177</v>
      </c>
      <c r="AT80" s="38">
        <v>45</v>
      </c>
      <c r="AU80" s="38">
        <v>90</v>
      </c>
      <c r="AV80" s="38">
        <v>40</v>
      </c>
      <c r="AW80" s="38">
        <v>0</v>
      </c>
      <c r="AX80" s="38" t="s">
        <v>130</v>
      </c>
      <c r="AY80" s="38" t="s">
        <v>177</v>
      </c>
      <c r="AZ80" s="38">
        <v>45</v>
      </c>
      <c r="BA80" s="38">
        <v>90</v>
      </c>
      <c r="BB80" s="38">
        <f>IF(AND(PCdb[[#This Row],[BCD]]&gt;UIoptions!$S$10,PCdb[[#This Row],[BCD]]&lt;UIoptions!$T$10),1,0)</f>
        <v>0</v>
      </c>
      <c r="BC80" s="38">
        <f>IF(AND(PCdb[[#This Row],[PD]]&gt;UIoptions!$S$11,PCdb[[#This Row],[PD]]&lt;UIoptions!$T$11),1,0)</f>
        <v>0</v>
      </c>
      <c r="BD80" s="38">
        <f>IF(AND(UIoptions!$P$14&lt;=PCdb[[#This Row],[PL (MAX)]],UIoptions!$P$14&gt;UIoptions!$S$14),1,0)</f>
        <v>1</v>
      </c>
      <c r="BE80" s="38">
        <f>IF(AND(PCdb[[#This Row],[SD]]&gt;UIoptions!$S$12,PCdb[[#This Row],[SD]]&lt;UIoptions!$T$12),1,0)</f>
        <v>0</v>
      </c>
      <c r="BF80" s="38">
        <f>IF(AND(PCdb[[#This Row],[SL]]&gt;UIoptions!$S$13,PCdb[[#This Row],[SL]]&lt;UIoptions!$T$13),1,0)</f>
        <v>0</v>
      </c>
      <c r="BG80" s="38">
        <f>IF(UIoptions!$N$35=1,IF(AND(PCdb[[#This Row],[SQ_SZ]]&gt;UIoptions!$S$15,PCdb[[#This Row],[SQ_SZ]]&lt;UIoptions!$T$15),1,0),1)</f>
        <v>0</v>
      </c>
      <c r="BH80" s="38">
        <f>IF(UIoptions!$N$35=2,IF(AND(PCdb[[#This Row],[ROUND_D]]&gt;UIoptions!$S$15,PCdb[[#This Row],[ROUND_D]]&lt;UIoptions!$T$15),1,0),1)</f>
        <v>1</v>
      </c>
      <c r="BI80" s="38">
        <f>IF(UIoptions!$N$75&lt;&gt;1,1,IF(AND(PCdb[[#This Row],[FL]]&gt;UIoptions!$S$16,PCdb[[#This Row],[FL]]&lt;UIoptions!$T$16),1,0))</f>
        <v>0</v>
      </c>
      <c r="BJ80" s="38" t="e">
        <f>IF(OR(UIoptions!$Q$18=PCdb[[#This Row],[THRU_SCREW]],UIoptions!$Q$18="NA"),1,0)</f>
        <v>#N/A</v>
      </c>
      <c r="BK80" s="38">
        <f>IF(OR(UIoptions!$P$19=PCdb[[#This Row],[THREAD_SZ]],UIoptions!$P$19="NA"),1,0)</f>
        <v>1</v>
      </c>
      <c r="BL80" s="38">
        <f>IF(UIoptions!$N$75=1,1,IF(AND(PCdb[[#This Row],[THREAD_L]]&gt;UIoptions!$S$17,PCdb[[#This Row],[THREAD_L]]&lt;UIoptions!$T$17),1,0))</f>
        <v>1</v>
      </c>
      <c r="BM80" s="38" t="e">
        <f>IF(SUM(PCdb[[#This Row],[BDhit]:[THREAD_Lhit]])=11,1,0)</f>
        <v>#N/A</v>
      </c>
      <c r="BN8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90704143080NA8M6NANA4</v>
      </c>
      <c r="BO80" s="38" t="e">
        <f>SUM(PCdb[[#This Row],[BDhit]:[THREAD_Lhit]])</f>
        <v>#N/A</v>
      </c>
    </row>
    <row r="81" spans="1:67" x14ac:dyDescent="0.25">
      <c r="A81" s="7">
        <v>78</v>
      </c>
      <c r="B81" s="93">
        <v>34</v>
      </c>
      <c r="C81" s="93">
        <v>25</v>
      </c>
      <c r="D81" s="93">
        <v>4</v>
      </c>
      <c r="E81" s="93">
        <v>8</v>
      </c>
      <c r="F81" s="93">
        <v>25</v>
      </c>
      <c r="G81" s="93">
        <v>42</v>
      </c>
      <c r="H81" s="93" t="s">
        <v>87</v>
      </c>
      <c r="I81" s="93" t="s">
        <v>87</v>
      </c>
      <c r="J81" s="93" t="s">
        <v>87</v>
      </c>
      <c r="K81" s="93" t="s">
        <v>105</v>
      </c>
      <c r="L81" s="93">
        <v>8</v>
      </c>
      <c r="M81" s="93">
        <v>4</v>
      </c>
      <c r="N81" s="38">
        <v>3.5</v>
      </c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 t="s">
        <v>87</v>
      </c>
      <c r="AK81" s="38" t="s">
        <v>87</v>
      </c>
      <c r="AL81" s="38" t="s">
        <v>130</v>
      </c>
      <c r="AM81" s="38" t="s">
        <v>280</v>
      </c>
      <c r="AN81" s="38">
        <v>45</v>
      </c>
      <c r="AO81" s="38">
        <v>90</v>
      </c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>
        <f>IF(AND(PCdb[[#This Row],[BCD]]&gt;UIoptions!$S$10,PCdb[[#This Row],[BCD]]&lt;UIoptions!$T$10),1,0)</f>
        <v>0</v>
      </c>
      <c r="BC81" s="38">
        <f>IF(AND(PCdb[[#This Row],[PD]]&gt;UIoptions!$S$11,PCdb[[#This Row],[PD]]&lt;UIoptions!$T$11),1,0)</f>
        <v>0</v>
      </c>
      <c r="BD81" s="38">
        <f>IF(AND(UIoptions!$P$14&lt;=PCdb[[#This Row],[PL (MAX)]],UIoptions!$P$14&gt;UIoptions!$S$14),1,0)</f>
        <v>1</v>
      </c>
      <c r="BE81" s="38">
        <f>IF(AND(PCdb[[#This Row],[SD]]&gt;UIoptions!$S$12,PCdb[[#This Row],[SD]]&lt;UIoptions!$T$12),1,0)</f>
        <v>0</v>
      </c>
      <c r="BF81" s="38">
        <f>IF(AND(PCdb[[#This Row],[SL]]&gt;UIoptions!$S$13,PCdb[[#This Row],[SL]]&lt;UIoptions!$T$13),1,0)</f>
        <v>0</v>
      </c>
      <c r="BG81" s="38">
        <f>IF(UIoptions!$N$35=1,IF(AND(PCdb[[#This Row],[SQ_SZ]]&gt;UIoptions!$S$15,PCdb[[#This Row],[SQ_SZ]]&lt;UIoptions!$T$15),1,0),1)</f>
        <v>0</v>
      </c>
      <c r="BH81" s="38">
        <f>IF(UIoptions!$N$35=2,IF(AND(PCdb[[#This Row],[ROUND_D]]&gt;UIoptions!$S$15,PCdb[[#This Row],[ROUND_D]]&lt;UIoptions!$T$15),1,0),1)</f>
        <v>1</v>
      </c>
      <c r="BI81" s="38">
        <f>IF(UIoptions!$N$75&lt;&gt;1,1,IF(AND(PCdb[[#This Row],[FL]]&gt;UIoptions!$S$16,PCdb[[#This Row],[FL]]&lt;UIoptions!$T$16),1,0))</f>
        <v>0</v>
      </c>
      <c r="BJ81" s="38" t="e">
        <f>IF(OR(UIoptions!$Q$18=PCdb[[#This Row],[THRU_SCREW]],UIoptions!$Q$18="NA"),1,0)</f>
        <v>#N/A</v>
      </c>
      <c r="BK81" s="38">
        <f>IF(OR(UIoptions!$P$19=PCdb[[#This Row],[THREAD_SZ]],UIoptions!$P$19="NA"),1,0)</f>
        <v>1</v>
      </c>
      <c r="BL81" s="38">
        <f>IF(UIoptions!$N$75=1,1,IF(AND(PCdb[[#This Row],[THREAD_L]]&gt;UIoptions!$S$17,PCdb[[#This Row],[THREAD_L]]&lt;UIoptions!$T$17),1,0))</f>
        <v>1</v>
      </c>
      <c r="BM81" s="38" t="e">
        <f>IF(SUM(PCdb[[#This Row],[BDhit]:[THREAD_Lhit]])=11,1,0)</f>
        <v>#N/A</v>
      </c>
      <c r="BN8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3425482542NANANAM384</v>
      </c>
      <c r="BO81" s="38" t="e">
        <f>SUM(PCdb[[#This Row],[BDhit]:[THREAD_Lhit]])</f>
        <v>#N/A</v>
      </c>
    </row>
    <row r="82" spans="1:67" x14ac:dyDescent="0.25">
      <c r="A82" s="7">
        <v>79</v>
      </c>
      <c r="B82" s="93">
        <v>100</v>
      </c>
      <c r="C82" s="93">
        <v>80</v>
      </c>
      <c r="D82" s="93">
        <v>4</v>
      </c>
      <c r="E82" s="93">
        <v>14</v>
      </c>
      <c r="F82" s="93">
        <v>30</v>
      </c>
      <c r="G82" s="93">
        <v>91.3</v>
      </c>
      <c r="H82" s="93" t="s">
        <v>87</v>
      </c>
      <c r="I82" s="93">
        <v>11</v>
      </c>
      <c r="J82" s="93" t="s">
        <v>49</v>
      </c>
      <c r="K82" s="93" t="s">
        <v>87</v>
      </c>
      <c r="L82" s="93" t="s">
        <v>87</v>
      </c>
      <c r="M82" s="93">
        <v>4</v>
      </c>
      <c r="N82" s="38" t="s">
        <v>49</v>
      </c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25">
        <v>48.7</v>
      </c>
      <c r="AD82" s="38">
        <v>42</v>
      </c>
      <c r="AE82" s="38" t="s">
        <v>87</v>
      </c>
      <c r="AF82" s="38" t="s">
        <v>130</v>
      </c>
      <c r="AG82" s="38" t="s">
        <v>172</v>
      </c>
      <c r="AH82" s="38">
        <v>45</v>
      </c>
      <c r="AI82" s="38">
        <v>90</v>
      </c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>
        <f>IF(AND(PCdb[[#This Row],[BCD]]&gt;UIoptions!$S$10,PCdb[[#This Row],[BCD]]&lt;UIoptions!$T$10),1,0)</f>
        <v>0</v>
      </c>
      <c r="BC82" s="38">
        <f>IF(AND(PCdb[[#This Row],[PD]]&gt;UIoptions!$S$11,PCdb[[#This Row],[PD]]&lt;UIoptions!$T$11),1,0)</f>
        <v>0</v>
      </c>
      <c r="BD82" s="38">
        <f>IF(AND(UIoptions!$P$14&lt;=PCdb[[#This Row],[PL (MAX)]],UIoptions!$P$14&gt;UIoptions!$S$14),1,0)</f>
        <v>1</v>
      </c>
      <c r="BE82" s="38">
        <f>IF(AND(PCdb[[#This Row],[SD]]&gt;UIoptions!$S$12,PCdb[[#This Row],[SD]]&lt;UIoptions!$T$12),1,0)</f>
        <v>0</v>
      </c>
      <c r="BF82" s="38">
        <f>IF(AND(PCdb[[#This Row],[SL]]&gt;UIoptions!$S$13,PCdb[[#This Row],[SL]]&lt;UIoptions!$T$13),1,0)</f>
        <v>0</v>
      </c>
      <c r="BG82" s="38">
        <f>IF(UIoptions!$N$35=1,IF(AND(PCdb[[#This Row],[SQ_SZ]]&gt;UIoptions!$S$15,PCdb[[#This Row],[SQ_SZ]]&lt;UIoptions!$T$15),1,0),1)</f>
        <v>0</v>
      </c>
      <c r="BH82" s="38">
        <f>IF(UIoptions!$N$35=2,IF(AND(PCdb[[#This Row],[ROUND_D]]&gt;UIoptions!$S$15,PCdb[[#This Row],[ROUND_D]]&lt;UIoptions!$T$15),1,0),1)</f>
        <v>1</v>
      </c>
      <c r="BI82" s="38">
        <f>IF(UIoptions!$N$75&lt;&gt;1,1,IF(AND(PCdb[[#This Row],[FL]]&gt;UIoptions!$S$16,PCdb[[#This Row],[FL]]&lt;UIoptions!$T$16),1,0))</f>
        <v>0</v>
      </c>
      <c r="BJ82" s="38" t="e">
        <f>IF(OR(UIoptions!$Q$18=PCdb[[#This Row],[THRU_SCREW]],UIoptions!$Q$18="NA"),1,0)</f>
        <v>#N/A</v>
      </c>
      <c r="BK82" s="38">
        <f>IF(OR(UIoptions!$P$19=PCdb[[#This Row],[THREAD_SZ]],UIoptions!$P$19="NA"),1,0)</f>
        <v>1</v>
      </c>
      <c r="BL82" s="38">
        <f>IF(UIoptions!$N$75=1,1,IF(AND(PCdb[[#This Row],[THREAD_L]]&gt;UIoptions!$S$17,PCdb[[#This Row],[THREAD_L]]&lt;UIoptions!$T$17),1,0))</f>
        <v>1</v>
      </c>
      <c r="BM82" s="38" t="e">
        <f>IF(SUM(PCdb[[#This Row],[BDhit]:[THREAD_Lhit]])=11,1,0)</f>
        <v>#N/A</v>
      </c>
      <c r="BN8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100804143091.3NA11M6NANA4</v>
      </c>
      <c r="BO82" s="38" t="e">
        <f>SUM(PCdb[[#This Row],[BDhit]:[THREAD_Lhit]])</f>
        <v>#N/A</v>
      </c>
    </row>
    <row r="83" spans="1:67" x14ac:dyDescent="0.25">
      <c r="A83" s="7">
        <v>80</v>
      </c>
      <c r="B83" s="93">
        <v>46</v>
      </c>
      <c r="C83" s="93">
        <v>30</v>
      </c>
      <c r="D83" s="93">
        <v>4</v>
      </c>
      <c r="E83" s="93">
        <v>8</v>
      </c>
      <c r="F83" s="93">
        <v>25</v>
      </c>
      <c r="G83" s="93">
        <v>40</v>
      </c>
      <c r="H83" s="93" t="s">
        <v>87</v>
      </c>
      <c r="I83" s="93">
        <v>6</v>
      </c>
      <c r="J83" s="93" t="s">
        <v>7</v>
      </c>
      <c r="K83" s="93" t="s">
        <v>87</v>
      </c>
      <c r="L83" s="93" t="s">
        <v>87</v>
      </c>
      <c r="M83" s="93">
        <v>4</v>
      </c>
      <c r="N83" s="38" t="s">
        <v>7</v>
      </c>
      <c r="O83" s="25">
        <v>38.700000000000003</v>
      </c>
      <c r="P83" s="38">
        <v>3</v>
      </c>
      <c r="Q83" s="38">
        <v>32</v>
      </c>
      <c r="R83" s="38" t="s">
        <v>130</v>
      </c>
      <c r="S83" s="38" t="s">
        <v>171</v>
      </c>
      <c r="T83" s="38">
        <v>45</v>
      </c>
      <c r="U83" s="38">
        <v>90</v>
      </c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>
        <v>18</v>
      </c>
      <c r="AK83" s="38">
        <v>0</v>
      </c>
      <c r="AL83" s="38" t="s">
        <v>130</v>
      </c>
      <c r="AM83" s="38" t="s">
        <v>176</v>
      </c>
      <c r="AN83" s="38">
        <v>45</v>
      </c>
      <c r="AO83" s="38">
        <v>90</v>
      </c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>
        <f>IF(AND(PCdb[[#This Row],[BCD]]&gt;UIoptions!$S$10,PCdb[[#This Row],[BCD]]&lt;UIoptions!$T$10),1,0)</f>
        <v>0</v>
      </c>
      <c r="BC83" s="38">
        <f>IF(AND(PCdb[[#This Row],[PD]]&gt;UIoptions!$S$11,PCdb[[#This Row],[PD]]&lt;UIoptions!$T$11),1,0)</f>
        <v>0</v>
      </c>
      <c r="BD83" s="38">
        <f>IF(AND(UIoptions!$P$14&lt;=PCdb[[#This Row],[PL (MAX)]],UIoptions!$P$14&gt;UIoptions!$S$14),1,0)</f>
        <v>1</v>
      </c>
      <c r="BE83" s="38">
        <f>IF(AND(PCdb[[#This Row],[SD]]&gt;UIoptions!$S$12,PCdb[[#This Row],[SD]]&lt;UIoptions!$T$12),1,0)</f>
        <v>0</v>
      </c>
      <c r="BF83" s="38">
        <f>IF(AND(PCdb[[#This Row],[SL]]&gt;UIoptions!$S$13,PCdb[[#This Row],[SL]]&lt;UIoptions!$T$13),1,0)</f>
        <v>0</v>
      </c>
      <c r="BG83" s="38">
        <f>IF(UIoptions!$N$35=1,IF(AND(PCdb[[#This Row],[SQ_SZ]]&gt;UIoptions!$S$15,PCdb[[#This Row],[SQ_SZ]]&lt;UIoptions!$T$15),1,0),1)</f>
        <v>0</v>
      </c>
      <c r="BH83" s="38">
        <f>IF(UIoptions!$N$35=2,IF(AND(PCdb[[#This Row],[ROUND_D]]&gt;UIoptions!$S$15,PCdb[[#This Row],[ROUND_D]]&lt;UIoptions!$T$15),1,0),1)</f>
        <v>1</v>
      </c>
      <c r="BI83" s="38">
        <f>IF(UIoptions!$N$75&lt;&gt;1,1,IF(AND(PCdb[[#This Row],[FL]]&gt;UIoptions!$S$16,PCdb[[#This Row],[FL]]&lt;UIoptions!$T$16),1,0))</f>
        <v>0</v>
      </c>
      <c r="BJ83" s="38" t="e">
        <f>IF(OR(UIoptions!$Q$18=PCdb[[#This Row],[THRU_SCREW]],UIoptions!$Q$18="NA"),1,0)</f>
        <v>#N/A</v>
      </c>
      <c r="BK83" s="38">
        <f>IF(OR(UIoptions!$P$19=PCdb[[#This Row],[THREAD_SZ]],UIoptions!$P$19="NA"),1,0)</f>
        <v>1</v>
      </c>
      <c r="BL83" s="38">
        <f>IF(UIoptions!$N$75=1,1,IF(AND(PCdb[[#This Row],[THREAD_L]]&gt;UIoptions!$S$17,PCdb[[#This Row],[THREAD_L]]&lt;UIoptions!$T$17),1,0))</f>
        <v>1</v>
      </c>
      <c r="BM83" s="38" t="e">
        <f>IF(SUM(PCdb[[#This Row],[BDhit]:[THREAD_Lhit]])=11,1,0)</f>
        <v>#N/A</v>
      </c>
      <c r="BN8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4630482540NA6M4NANA4</v>
      </c>
      <c r="BO83" s="38" t="e">
        <f>SUM(PCdb[[#This Row],[BDhit]:[THREAD_Lhit]])</f>
        <v>#N/A</v>
      </c>
    </row>
    <row r="84" spans="1:67" x14ac:dyDescent="0.25">
      <c r="A84" s="7">
        <v>81</v>
      </c>
      <c r="B84" s="93">
        <v>70</v>
      </c>
      <c r="C84" s="93">
        <v>50</v>
      </c>
      <c r="D84" s="93">
        <v>4</v>
      </c>
      <c r="E84" s="93">
        <v>14</v>
      </c>
      <c r="F84" s="93">
        <v>30</v>
      </c>
      <c r="G84" s="93">
        <v>58</v>
      </c>
      <c r="H84" s="93" t="s">
        <v>87</v>
      </c>
      <c r="I84" s="93">
        <v>6.1</v>
      </c>
      <c r="J84" s="93" t="s">
        <v>45</v>
      </c>
      <c r="K84" s="93" t="s">
        <v>87</v>
      </c>
      <c r="L84" s="93" t="s">
        <v>87</v>
      </c>
      <c r="M84" s="93">
        <v>4</v>
      </c>
      <c r="N84" s="38" t="s">
        <v>45</v>
      </c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>
        <f>IF(AND(PCdb[[#This Row],[BCD]]&gt;UIoptions!$S$10,PCdb[[#This Row],[BCD]]&lt;UIoptions!$T$10),1,0)</f>
        <v>0</v>
      </c>
      <c r="BC84" s="38">
        <f>IF(AND(PCdb[[#This Row],[PD]]&gt;UIoptions!$S$11,PCdb[[#This Row],[PD]]&lt;UIoptions!$T$11),1,0)</f>
        <v>0</v>
      </c>
      <c r="BD84" s="38">
        <f>IF(AND(UIoptions!$P$14&lt;=PCdb[[#This Row],[PL (MAX)]],UIoptions!$P$14&gt;UIoptions!$S$14),1,0)</f>
        <v>1</v>
      </c>
      <c r="BE84" s="38">
        <f>IF(AND(PCdb[[#This Row],[SD]]&gt;UIoptions!$S$12,PCdb[[#This Row],[SD]]&lt;UIoptions!$T$12),1,0)</f>
        <v>0</v>
      </c>
      <c r="BF84" s="38">
        <f>IF(AND(PCdb[[#This Row],[SL]]&gt;UIoptions!$S$13,PCdb[[#This Row],[SL]]&lt;UIoptions!$T$13),1,0)</f>
        <v>0</v>
      </c>
      <c r="BG84" s="38">
        <f>IF(UIoptions!$N$35=1,IF(AND(PCdb[[#This Row],[SQ_SZ]]&gt;UIoptions!$S$15,PCdb[[#This Row],[SQ_SZ]]&lt;UIoptions!$T$15),1,0),1)</f>
        <v>0</v>
      </c>
      <c r="BH84" s="38">
        <f>IF(UIoptions!$N$35=2,IF(AND(PCdb[[#This Row],[ROUND_D]]&gt;UIoptions!$S$15,PCdb[[#This Row],[ROUND_D]]&lt;UIoptions!$T$15),1,0),1)</f>
        <v>1</v>
      </c>
      <c r="BI84" s="38">
        <f>IF(UIoptions!$N$75&lt;&gt;1,1,IF(AND(PCdb[[#This Row],[FL]]&gt;UIoptions!$S$16,PCdb[[#This Row],[FL]]&lt;UIoptions!$T$16),1,0))</f>
        <v>0</v>
      </c>
      <c r="BJ84" s="38" t="e">
        <f>IF(OR(UIoptions!$Q$18=PCdb[[#This Row],[THRU_SCREW]],UIoptions!$Q$18="NA"),1,0)</f>
        <v>#N/A</v>
      </c>
      <c r="BK84" s="38">
        <f>IF(OR(UIoptions!$P$19=PCdb[[#This Row],[THREAD_SZ]],UIoptions!$P$19="NA"),1,0)</f>
        <v>1</v>
      </c>
      <c r="BL84" s="38">
        <f>IF(UIoptions!$N$75=1,1,IF(AND(PCdb[[#This Row],[THREAD_L]]&gt;UIoptions!$S$17,PCdb[[#This Row],[THREAD_L]]&lt;UIoptions!$T$17),1,0))</f>
        <v>1</v>
      </c>
      <c r="BM84" s="38" t="e">
        <f>IF(SUM(PCdb[[#This Row],[BDhit]:[THREAD_Lhit]])=11,1,0)</f>
        <v>#N/A</v>
      </c>
      <c r="BN8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70504143058NA6.1M5NANA4</v>
      </c>
      <c r="BO84" s="38" t="e">
        <f>SUM(PCdb[[#This Row],[BDhit]:[THREAD_Lhit]])</f>
        <v>#N/A</v>
      </c>
    </row>
    <row r="85" spans="1:67" x14ac:dyDescent="0.25">
      <c r="A85" s="7">
        <v>82</v>
      </c>
      <c r="B85" s="93">
        <v>66.7</v>
      </c>
      <c r="C85" s="93">
        <v>38.1</v>
      </c>
      <c r="D85" s="93">
        <v>4</v>
      </c>
      <c r="E85" s="93">
        <v>9.5299999999999994</v>
      </c>
      <c r="F85" s="93">
        <v>20.6</v>
      </c>
      <c r="G85" s="93">
        <v>58</v>
      </c>
      <c r="H85" s="93" t="s">
        <v>87</v>
      </c>
      <c r="I85" s="93">
        <v>6.1</v>
      </c>
      <c r="J85" s="93" t="s">
        <v>7</v>
      </c>
      <c r="K85" s="93" t="s">
        <v>87</v>
      </c>
      <c r="L85" s="93" t="s">
        <v>87</v>
      </c>
      <c r="M85" s="93">
        <v>4</v>
      </c>
      <c r="N85" s="38" t="s">
        <v>7</v>
      </c>
      <c r="O85" s="25">
        <v>38.700000000000003</v>
      </c>
      <c r="P85" s="38">
        <v>22</v>
      </c>
      <c r="Q85" s="38" t="s">
        <v>87</v>
      </c>
      <c r="R85" s="38" t="s">
        <v>130</v>
      </c>
      <c r="S85" s="38" t="s">
        <v>172</v>
      </c>
      <c r="T85" s="38">
        <v>45</v>
      </c>
      <c r="U85" s="38">
        <v>90</v>
      </c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>
        <f>IF(AND(PCdb[[#This Row],[BCD]]&gt;UIoptions!$S$10,PCdb[[#This Row],[BCD]]&lt;UIoptions!$T$10),1,0)</f>
        <v>0</v>
      </c>
      <c r="BC85" s="38">
        <f>IF(AND(PCdb[[#This Row],[PD]]&gt;UIoptions!$S$11,PCdb[[#This Row],[PD]]&lt;UIoptions!$T$11),1,0)</f>
        <v>0</v>
      </c>
      <c r="BD85" s="38">
        <f>IF(AND(UIoptions!$P$14&lt;=PCdb[[#This Row],[PL (MAX)]],UIoptions!$P$14&gt;UIoptions!$S$14),1,0)</f>
        <v>1</v>
      </c>
      <c r="BE85" s="38">
        <f>IF(AND(PCdb[[#This Row],[SD]]&gt;UIoptions!$S$12,PCdb[[#This Row],[SD]]&lt;UIoptions!$T$12),1,0)</f>
        <v>0</v>
      </c>
      <c r="BF85" s="38">
        <f>IF(AND(PCdb[[#This Row],[SL]]&gt;UIoptions!$S$13,PCdb[[#This Row],[SL]]&lt;UIoptions!$T$13),1,0)</f>
        <v>0</v>
      </c>
      <c r="BG85" s="38">
        <f>IF(UIoptions!$N$35=1,IF(AND(PCdb[[#This Row],[SQ_SZ]]&gt;UIoptions!$S$15,PCdb[[#This Row],[SQ_SZ]]&lt;UIoptions!$T$15),1,0),1)</f>
        <v>0</v>
      </c>
      <c r="BH85" s="38">
        <f>IF(UIoptions!$N$35=2,IF(AND(PCdb[[#This Row],[ROUND_D]]&gt;UIoptions!$S$15,PCdb[[#This Row],[ROUND_D]]&lt;UIoptions!$T$15),1,0),1)</f>
        <v>1</v>
      </c>
      <c r="BI85" s="38">
        <f>IF(UIoptions!$N$75&lt;&gt;1,1,IF(AND(PCdb[[#This Row],[FL]]&gt;UIoptions!$S$16,PCdb[[#This Row],[FL]]&lt;UIoptions!$T$16),1,0))</f>
        <v>0</v>
      </c>
      <c r="BJ85" s="38" t="e">
        <f>IF(OR(UIoptions!$Q$18=PCdb[[#This Row],[THRU_SCREW]],UIoptions!$Q$18="NA"),1,0)</f>
        <v>#N/A</v>
      </c>
      <c r="BK85" s="38">
        <f>IF(OR(UIoptions!$P$19=PCdb[[#This Row],[THREAD_SZ]],UIoptions!$P$19="NA"),1,0)</f>
        <v>1</v>
      </c>
      <c r="BL85" s="38">
        <f>IF(UIoptions!$N$75=1,1,IF(AND(PCdb[[#This Row],[THREAD_L]]&gt;UIoptions!$S$17,PCdb[[#This Row],[THREAD_L]]&lt;UIoptions!$T$17),1,0))</f>
        <v>1</v>
      </c>
      <c r="BM85" s="38" t="e">
        <f>IF(SUM(PCdb[[#This Row],[BDhit]:[THREAD_Lhit]])=11,1,0)</f>
        <v>#N/A</v>
      </c>
      <c r="BN8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66.738.149.5320.658NA6.1M4NANA4</v>
      </c>
      <c r="BO85" s="38" t="e">
        <f>SUM(PCdb[[#This Row],[BDhit]:[THREAD_Lhit]])</f>
        <v>#N/A</v>
      </c>
    </row>
    <row r="86" spans="1:67" x14ac:dyDescent="0.25">
      <c r="A86" s="7">
        <v>83</v>
      </c>
      <c r="B86" s="93">
        <v>66.7</v>
      </c>
      <c r="C86" s="93">
        <v>38.1</v>
      </c>
      <c r="D86" s="93">
        <v>4</v>
      </c>
      <c r="E86" s="93">
        <v>6.35</v>
      </c>
      <c r="F86" s="93">
        <v>20.6</v>
      </c>
      <c r="G86" s="93">
        <v>57.9</v>
      </c>
      <c r="H86" s="93" t="s">
        <v>87</v>
      </c>
      <c r="I86" s="93">
        <v>6.1</v>
      </c>
      <c r="J86" s="93" t="s">
        <v>7</v>
      </c>
      <c r="K86" s="93" t="s">
        <v>87</v>
      </c>
      <c r="L86" s="93" t="s">
        <v>87</v>
      </c>
      <c r="M86" s="93">
        <v>4</v>
      </c>
      <c r="N86" s="38" t="s">
        <v>7</v>
      </c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>
        <f>IF(AND(PCdb[[#This Row],[BCD]]&gt;UIoptions!$S$10,PCdb[[#This Row],[BCD]]&lt;UIoptions!$T$10),1,0)</f>
        <v>0</v>
      </c>
      <c r="BC86" s="38">
        <f>IF(AND(PCdb[[#This Row],[PD]]&gt;UIoptions!$S$11,PCdb[[#This Row],[PD]]&lt;UIoptions!$T$11),1,0)</f>
        <v>0</v>
      </c>
      <c r="BD86" s="38">
        <f>IF(AND(UIoptions!$P$14&lt;=PCdb[[#This Row],[PL (MAX)]],UIoptions!$P$14&gt;UIoptions!$S$14),1,0)</f>
        <v>1</v>
      </c>
      <c r="BE86" s="38">
        <f>IF(AND(PCdb[[#This Row],[SD]]&gt;UIoptions!$S$12,PCdb[[#This Row],[SD]]&lt;UIoptions!$T$12),1,0)</f>
        <v>0</v>
      </c>
      <c r="BF86" s="38">
        <f>IF(AND(PCdb[[#This Row],[SL]]&gt;UIoptions!$S$13,PCdb[[#This Row],[SL]]&lt;UIoptions!$T$13),1,0)</f>
        <v>0</v>
      </c>
      <c r="BG86" s="38">
        <f>IF(UIoptions!$N$35=1,IF(AND(PCdb[[#This Row],[SQ_SZ]]&gt;UIoptions!$S$15,PCdb[[#This Row],[SQ_SZ]]&lt;UIoptions!$T$15),1,0),1)</f>
        <v>0</v>
      </c>
      <c r="BH86" s="38">
        <f>IF(UIoptions!$N$35=2,IF(AND(PCdb[[#This Row],[ROUND_D]]&gt;UIoptions!$S$15,PCdb[[#This Row],[ROUND_D]]&lt;UIoptions!$T$15),1,0),1)</f>
        <v>1</v>
      </c>
      <c r="BI86" s="38">
        <f>IF(UIoptions!$N$75&lt;&gt;1,1,IF(AND(PCdb[[#This Row],[FL]]&gt;UIoptions!$S$16,PCdb[[#This Row],[FL]]&lt;UIoptions!$T$16),1,0))</f>
        <v>0</v>
      </c>
      <c r="BJ86" s="38" t="e">
        <f>IF(OR(UIoptions!$Q$18=PCdb[[#This Row],[THRU_SCREW]],UIoptions!$Q$18="NA"),1,0)</f>
        <v>#N/A</v>
      </c>
      <c r="BK86" s="38">
        <f>IF(OR(UIoptions!$P$19=PCdb[[#This Row],[THREAD_SZ]],UIoptions!$P$19="NA"),1,0)</f>
        <v>1</v>
      </c>
      <c r="BL86" s="38">
        <f>IF(UIoptions!$N$75=1,1,IF(AND(PCdb[[#This Row],[THREAD_L]]&gt;UIoptions!$S$17,PCdb[[#This Row],[THREAD_L]]&lt;UIoptions!$T$17),1,0))</f>
        <v>1</v>
      </c>
      <c r="BM86" s="38" t="e">
        <f>IF(SUM(PCdb[[#This Row],[BDhit]:[THREAD_Lhit]])=11,1,0)</f>
        <v>#N/A</v>
      </c>
      <c r="BN8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66.738.146.3520.657.9NA6.1M4NANA4</v>
      </c>
      <c r="BO86" s="38" t="e">
        <f>SUM(PCdb[[#This Row],[BDhit]:[THREAD_Lhit]])</f>
        <v>#N/A</v>
      </c>
    </row>
    <row r="87" spans="1:67" x14ac:dyDescent="0.25">
      <c r="A87" s="7">
        <v>84</v>
      </c>
      <c r="B87" s="93">
        <v>100</v>
      </c>
      <c r="C87" s="93">
        <v>80</v>
      </c>
      <c r="D87" s="93">
        <v>4</v>
      </c>
      <c r="E87" s="93">
        <v>14</v>
      </c>
      <c r="F87" s="93">
        <v>30</v>
      </c>
      <c r="G87" s="93">
        <v>86</v>
      </c>
      <c r="H87" s="93" t="s">
        <v>87</v>
      </c>
      <c r="I87" s="93">
        <v>8.4</v>
      </c>
      <c r="J87" s="93" t="s">
        <v>49</v>
      </c>
      <c r="K87" s="93" t="s">
        <v>87</v>
      </c>
      <c r="L87" s="93" t="s">
        <v>87</v>
      </c>
      <c r="M87" s="93">
        <v>4</v>
      </c>
      <c r="N87" s="38" t="s">
        <v>49</v>
      </c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>
        <f>IF(AND(PCdb[[#This Row],[BCD]]&gt;UIoptions!$S$10,PCdb[[#This Row],[BCD]]&lt;UIoptions!$T$10),1,0)</f>
        <v>0</v>
      </c>
      <c r="BC87" s="38">
        <f>IF(AND(PCdb[[#This Row],[PD]]&gt;UIoptions!$S$11,PCdb[[#This Row],[PD]]&lt;UIoptions!$T$11),1,0)</f>
        <v>0</v>
      </c>
      <c r="BD87" s="38">
        <f>IF(AND(UIoptions!$P$14&lt;=PCdb[[#This Row],[PL (MAX)]],UIoptions!$P$14&gt;UIoptions!$S$14),1,0)</f>
        <v>1</v>
      </c>
      <c r="BE87" s="38">
        <f>IF(AND(PCdb[[#This Row],[SD]]&gt;UIoptions!$S$12,PCdb[[#This Row],[SD]]&lt;UIoptions!$T$12),1,0)</f>
        <v>0</v>
      </c>
      <c r="BF87" s="38">
        <f>IF(AND(PCdb[[#This Row],[SL]]&gt;UIoptions!$S$13,PCdb[[#This Row],[SL]]&lt;UIoptions!$T$13),1,0)</f>
        <v>0</v>
      </c>
      <c r="BG87" s="38">
        <f>IF(UIoptions!$N$35=1,IF(AND(PCdb[[#This Row],[SQ_SZ]]&gt;UIoptions!$S$15,PCdb[[#This Row],[SQ_SZ]]&lt;UIoptions!$T$15),1,0),1)</f>
        <v>0</v>
      </c>
      <c r="BH87" s="38">
        <f>IF(UIoptions!$N$35=2,IF(AND(PCdb[[#This Row],[ROUND_D]]&gt;UIoptions!$S$15,PCdb[[#This Row],[ROUND_D]]&lt;UIoptions!$T$15),1,0),1)</f>
        <v>1</v>
      </c>
      <c r="BI87" s="38">
        <f>IF(UIoptions!$N$75&lt;&gt;1,1,IF(AND(PCdb[[#This Row],[FL]]&gt;UIoptions!$S$16,PCdb[[#This Row],[FL]]&lt;UIoptions!$T$16),1,0))</f>
        <v>0</v>
      </c>
      <c r="BJ87" s="38" t="e">
        <f>IF(OR(UIoptions!$Q$18=PCdb[[#This Row],[THRU_SCREW]],UIoptions!$Q$18="NA"),1,0)</f>
        <v>#N/A</v>
      </c>
      <c r="BK87" s="38">
        <f>IF(OR(UIoptions!$P$19=PCdb[[#This Row],[THREAD_SZ]],UIoptions!$P$19="NA"),1,0)</f>
        <v>1</v>
      </c>
      <c r="BL87" s="38">
        <f>IF(UIoptions!$N$75=1,1,IF(AND(PCdb[[#This Row],[THREAD_L]]&gt;UIoptions!$S$17,PCdb[[#This Row],[THREAD_L]]&lt;UIoptions!$T$17),1,0))</f>
        <v>1</v>
      </c>
      <c r="BM87" s="38" t="e">
        <f>IF(SUM(PCdb[[#This Row],[BDhit]:[THREAD_Lhit]])=11,1,0)</f>
        <v>#N/A</v>
      </c>
      <c r="BN8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100804143086NA8.4M6NANA4</v>
      </c>
      <c r="BO87" s="38" t="e">
        <f>SUM(PCdb[[#This Row],[BDhit]:[THREAD_Lhit]])</f>
        <v>#N/A</v>
      </c>
    </row>
    <row r="88" spans="1:67" x14ac:dyDescent="0.25">
      <c r="A88" s="7">
        <v>85</v>
      </c>
      <c r="B88" s="93">
        <v>98.4</v>
      </c>
      <c r="C88" s="93">
        <v>73.03</v>
      </c>
      <c r="D88" s="93">
        <v>4</v>
      </c>
      <c r="E88" s="93">
        <v>12.7</v>
      </c>
      <c r="F88" s="93">
        <v>31.8</v>
      </c>
      <c r="G88" s="93">
        <v>85.9</v>
      </c>
      <c r="H88" s="93" t="s">
        <v>87</v>
      </c>
      <c r="I88" s="93">
        <v>8.4</v>
      </c>
      <c r="J88" s="93" t="s">
        <v>45</v>
      </c>
      <c r="K88" s="93" t="s">
        <v>87</v>
      </c>
      <c r="L88" s="93" t="s">
        <v>87</v>
      </c>
      <c r="M88" s="93">
        <v>4</v>
      </c>
      <c r="N88" s="38" t="s">
        <v>45</v>
      </c>
      <c r="O88" s="38"/>
      <c r="P88" s="38"/>
      <c r="Q88" s="38"/>
      <c r="R88" s="38"/>
      <c r="S88" s="38"/>
      <c r="T88" s="38"/>
      <c r="U88" s="38"/>
      <c r="V88" s="25">
        <v>41.7</v>
      </c>
      <c r="W88" s="38">
        <v>37.5</v>
      </c>
      <c r="X88" s="38" t="s">
        <v>87</v>
      </c>
      <c r="Y88" s="38" t="s">
        <v>130</v>
      </c>
      <c r="Z88" s="38" t="s">
        <v>172</v>
      </c>
      <c r="AA88" s="38">
        <v>45</v>
      </c>
      <c r="AB88" s="38">
        <v>90</v>
      </c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>
        <v>40</v>
      </c>
      <c r="AW88" s="38" t="s">
        <v>87</v>
      </c>
      <c r="AX88" s="38" t="s">
        <v>130</v>
      </c>
      <c r="AY88" s="38" t="s">
        <v>177</v>
      </c>
      <c r="AZ88" s="38">
        <v>45</v>
      </c>
      <c r="BA88" s="38">
        <v>90</v>
      </c>
      <c r="BB88" s="38">
        <f>IF(AND(PCdb[[#This Row],[BCD]]&gt;UIoptions!$S$10,PCdb[[#This Row],[BCD]]&lt;UIoptions!$T$10),1,0)</f>
        <v>0</v>
      </c>
      <c r="BC88" s="38">
        <f>IF(AND(PCdb[[#This Row],[PD]]&gt;UIoptions!$S$11,PCdb[[#This Row],[PD]]&lt;UIoptions!$T$11),1,0)</f>
        <v>0</v>
      </c>
      <c r="BD88" s="38">
        <f>IF(AND(UIoptions!$P$14&lt;=PCdb[[#This Row],[PL (MAX)]],UIoptions!$P$14&gt;UIoptions!$S$14),1,0)</f>
        <v>1</v>
      </c>
      <c r="BE88" s="38">
        <f>IF(AND(PCdb[[#This Row],[SD]]&gt;UIoptions!$S$12,PCdb[[#This Row],[SD]]&lt;UIoptions!$T$12),1,0)</f>
        <v>0</v>
      </c>
      <c r="BF88" s="38">
        <f>IF(AND(PCdb[[#This Row],[SL]]&gt;UIoptions!$S$13,PCdb[[#This Row],[SL]]&lt;UIoptions!$T$13),1,0)</f>
        <v>0</v>
      </c>
      <c r="BG88" s="38">
        <f>IF(UIoptions!$N$35=1,IF(AND(PCdb[[#This Row],[SQ_SZ]]&gt;UIoptions!$S$15,PCdb[[#This Row],[SQ_SZ]]&lt;UIoptions!$T$15),1,0),1)</f>
        <v>0</v>
      </c>
      <c r="BH88" s="38">
        <f>IF(UIoptions!$N$35=2,IF(AND(PCdb[[#This Row],[ROUND_D]]&gt;UIoptions!$S$15,PCdb[[#This Row],[ROUND_D]]&lt;UIoptions!$T$15),1,0),1)</f>
        <v>1</v>
      </c>
      <c r="BI88" s="38">
        <f>IF(UIoptions!$N$75&lt;&gt;1,1,IF(AND(PCdb[[#This Row],[FL]]&gt;UIoptions!$S$16,PCdb[[#This Row],[FL]]&lt;UIoptions!$T$16),1,0))</f>
        <v>0</v>
      </c>
      <c r="BJ88" s="38" t="e">
        <f>IF(OR(UIoptions!$Q$18=PCdb[[#This Row],[THRU_SCREW]],UIoptions!$Q$18="NA"),1,0)</f>
        <v>#N/A</v>
      </c>
      <c r="BK88" s="38">
        <f>IF(OR(UIoptions!$P$19=PCdb[[#This Row],[THREAD_SZ]],UIoptions!$P$19="NA"),1,0)</f>
        <v>1</v>
      </c>
      <c r="BL88" s="38">
        <f>IF(UIoptions!$N$75=1,1,IF(AND(PCdb[[#This Row],[THREAD_L]]&gt;UIoptions!$S$17,PCdb[[#This Row],[THREAD_L]]&lt;UIoptions!$T$17),1,0))</f>
        <v>1</v>
      </c>
      <c r="BM88" s="38" t="e">
        <f>IF(SUM(PCdb[[#This Row],[BDhit]:[THREAD_Lhit]])=11,1,0)</f>
        <v>#N/A</v>
      </c>
      <c r="BN8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98.473.03412.731.885.9NA8.4M5NANA4</v>
      </c>
      <c r="BO88" s="38" t="e">
        <f>SUM(PCdb[[#This Row],[BDhit]:[THREAD_Lhit]])</f>
        <v>#N/A</v>
      </c>
    </row>
    <row r="89" spans="1:67" x14ac:dyDescent="0.25">
      <c r="A89" s="7">
        <v>86</v>
      </c>
      <c r="B89" s="93">
        <v>66.7</v>
      </c>
      <c r="C89" s="93">
        <v>38.1</v>
      </c>
      <c r="D89" s="93">
        <v>4</v>
      </c>
      <c r="E89" s="93">
        <v>6.35</v>
      </c>
      <c r="F89" s="93">
        <v>20.6</v>
      </c>
      <c r="G89" s="93">
        <v>57.2</v>
      </c>
      <c r="H89" s="93" t="s">
        <v>87</v>
      </c>
      <c r="I89" s="93">
        <v>5.3</v>
      </c>
      <c r="J89" s="93" t="s">
        <v>7</v>
      </c>
      <c r="K89" s="93" t="s">
        <v>87</v>
      </c>
      <c r="L89" s="93" t="s">
        <v>87</v>
      </c>
      <c r="M89" s="93">
        <v>4</v>
      </c>
      <c r="N89" s="38" t="s">
        <v>7</v>
      </c>
      <c r="O89" s="38">
        <v>38.700000000000003</v>
      </c>
      <c r="P89" s="38">
        <v>22</v>
      </c>
      <c r="Q89" s="38">
        <v>0</v>
      </c>
      <c r="R89" s="38" t="s">
        <v>130</v>
      </c>
      <c r="S89" s="38" t="s">
        <v>172</v>
      </c>
      <c r="T89" s="38">
        <v>45</v>
      </c>
      <c r="U89" s="38">
        <v>90</v>
      </c>
      <c r="V89" s="38">
        <v>45.2</v>
      </c>
      <c r="W89" s="38">
        <v>26</v>
      </c>
      <c r="X89" s="38">
        <v>0</v>
      </c>
      <c r="Y89" s="38" t="s">
        <v>130</v>
      </c>
      <c r="Z89" s="38" t="s">
        <v>172</v>
      </c>
      <c r="AA89" s="38">
        <v>45</v>
      </c>
      <c r="AB89" s="38">
        <v>90</v>
      </c>
      <c r="AC89" s="38">
        <v>48.7</v>
      </c>
      <c r="AD89" s="38" t="s">
        <v>87</v>
      </c>
      <c r="AE89" s="38" t="s">
        <v>87</v>
      </c>
      <c r="AF89" s="38" t="s">
        <v>628</v>
      </c>
      <c r="AG89" s="38" t="s">
        <v>171</v>
      </c>
      <c r="AH89" s="38">
        <v>45</v>
      </c>
      <c r="AI89" s="38">
        <v>90</v>
      </c>
      <c r="AJ89" s="38"/>
      <c r="AK89" s="38"/>
      <c r="AL89" s="38"/>
      <c r="AM89" s="38"/>
      <c r="AN89" s="38"/>
      <c r="AO89" s="38"/>
      <c r="AP89" s="38">
        <v>22</v>
      </c>
      <c r="AQ89" s="38">
        <v>0</v>
      </c>
      <c r="AR89" s="38" t="s">
        <v>130</v>
      </c>
      <c r="AS89" s="38" t="s">
        <v>176</v>
      </c>
      <c r="AT89" s="38">
        <v>45</v>
      </c>
      <c r="AU89" s="38">
        <v>90</v>
      </c>
      <c r="AV89" s="38"/>
      <c r="AW89" s="38"/>
      <c r="AX89" s="38"/>
      <c r="AY89" s="38"/>
      <c r="AZ89" s="38"/>
      <c r="BA89" s="38"/>
      <c r="BB89" s="38">
        <f>IF(AND(PCdb[[#This Row],[BCD]]&gt;UIoptions!$S$10,PCdb[[#This Row],[BCD]]&lt;UIoptions!$T$10),1,0)</f>
        <v>0</v>
      </c>
      <c r="BC89" s="38">
        <f>IF(AND(PCdb[[#This Row],[PD]]&gt;UIoptions!$S$11,PCdb[[#This Row],[PD]]&lt;UIoptions!$T$11),1,0)</f>
        <v>0</v>
      </c>
      <c r="BD89" s="38">
        <f>IF(AND(UIoptions!$P$14&lt;=PCdb[[#This Row],[PL (MAX)]],UIoptions!$P$14&gt;UIoptions!$S$14),1,0)</f>
        <v>1</v>
      </c>
      <c r="BE89" s="38">
        <f>IF(AND(PCdb[[#This Row],[SD]]&gt;UIoptions!$S$12,PCdb[[#This Row],[SD]]&lt;UIoptions!$T$12),1,0)</f>
        <v>0</v>
      </c>
      <c r="BF89" s="38">
        <f>IF(AND(PCdb[[#This Row],[SL]]&gt;UIoptions!$S$13,PCdb[[#This Row],[SL]]&lt;UIoptions!$T$13),1,0)</f>
        <v>0</v>
      </c>
      <c r="BG89" s="38">
        <f>IF(UIoptions!$N$35=1,IF(AND(PCdb[[#This Row],[SQ_SZ]]&gt;UIoptions!$S$15,PCdb[[#This Row],[SQ_SZ]]&lt;UIoptions!$T$15),1,0),1)</f>
        <v>0</v>
      </c>
      <c r="BH89" s="38">
        <f>IF(UIoptions!$N$35=2,IF(AND(PCdb[[#This Row],[ROUND_D]]&gt;UIoptions!$S$15,PCdb[[#This Row],[ROUND_D]]&lt;UIoptions!$T$15),1,0),1)</f>
        <v>1</v>
      </c>
      <c r="BI89" s="38">
        <f>IF(UIoptions!$N$75&lt;&gt;1,1,IF(AND(PCdb[[#This Row],[FL]]&gt;UIoptions!$S$16,PCdb[[#This Row],[FL]]&lt;UIoptions!$T$16),1,0))</f>
        <v>0</v>
      </c>
      <c r="BJ89" s="38" t="e">
        <f>IF(OR(UIoptions!$Q$18=PCdb[[#This Row],[THRU_SCREW]],UIoptions!$Q$18="NA"),1,0)</f>
        <v>#N/A</v>
      </c>
      <c r="BK89" s="38">
        <f>IF(OR(UIoptions!$P$19=PCdb[[#This Row],[THREAD_SZ]],UIoptions!$P$19="NA"),1,0)</f>
        <v>1</v>
      </c>
      <c r="BL89" s="38">
        <f>IF(UIoptions!$N$75=1,1,IF(AND(PCdb[[#This Row],[THREAD_L]]&gt;UIoptions!$S$17,PCdb[[#This Row],[THREAD_L]]&lt;UIoptions!$T$17),1,0))</f>
        <v>1</v>
      </c>
      <c r="BM89" s="38" t="e">
        <f>IF(SUM(PCdb[[#This Row],[BDhit]:[THREAD_Lhit]])=11,1,0)</f>
        <v>#N/A</v>
      </c>
      <c r="BN8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66.738.146.3520.657.2NA5.3M4NANA4</v>
      </c>
      <c r="BO89" s="38" t="e">
        <f>SUM(PCdb[[#This Row],[BDhit]:[THREAD_Lhit]])</f>
        <v>#N/A</v>
      </c>
    </row>
    <row r="90" spans="1:67" x14ac:dyDescent="0.25">
      <c r="A90" s="7">
        <v>87</v>
      </c>
      <c r="B90" s="93">
        <v>98.4</v>
      </c>
      <c r="C90" s="93">
        <v>73.03</v>
      </c>
      <c r="D90" s="93">
        <v>4</v>
      </c>
      <c r="E90" s="93">
        <v>12.7</v>
      </c>
      <c r="F90" s="93">
        <v>31.8</v>
      </c>
      <c r="G90" s="93">
        <v>87.1</v>
      </c>
      <c r="H90" s="93" t="s">
        <v>87</v>
      </c>
      <c r="I90" s="93">
        <v>9.9</v>
      </c>
      <c r="J90" s="93" t="s">
        <v>45</v>
      </c>
      <c r="K90" s="93" t="s">
        <v>87</v>
      </c>
      <c r="L90" s="93" t="s">
        <v>87</v>
      </c>
      <c r="M90" s="93">
        <v>4</v>
      </c>
      <c r="N90" s="38" t="s">
        <v>45</v>
      </c>
      <c r="O90" s="38" t="s">
        <v>87</v>
      </c>
      <c r="P90" s="38" t="s">
        <v>87</v>
      </c>
      <c r="Q90" s="38" t="s">
        <v>87</v>
      </c>
      <c r="R90" s="38" t="s">
        <v>87</v>
      </c>
      <c r="S90" s="38" t="s">
        <v>87</v>
      </c>
      <c r="T90" s="38" t="s">
        <v>87</v>
      </c>
      <c r="U90" s="38" t="s">
        <v>87</v>
      </c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 t="s">
        <v>87</v>
      </c>
      <c r="AK90" s="38" t="s">
        <v>87</v>
      </c>
      <c r="AL90" s="38" t="s">
        <v>87</v>
      </c>
      <c r="AM90" s="38" t="s">
        <v>87</v>
      </c>
      <c r="AN90" s="38" t="s">
        <v>87</v>
      </c>
      <c r="AO90" s="38" t="s">
        <v>87</v>
      </c>
      <c r="AP90" s="38" t="s">
        <v>87</v>
      </c>
      <c r="AQ90" s="38" t="s">
        <v>87</v>
      </c>
      <c r="AR90" s="38" t="s">
        <v>87</v>
      </c>
      <c r="AS90" s="38" t="s">
        <v>87</v>
      </c>
      <c r="AT90" s="38" t="s">
        <v>87</v>
      </c>
      <c r="AU90" s="38" t="s">
        <v>87</v>
      </c>
      <c r="AV90" s="38">
        <v>39</v>
      </c>
      <c r="AW90" s="38" t="s">
        <v>87</v>
      </c>
      <c r="AX90" s="38" t="s">
        <v>130</v>
      </c>
      <c r="AY90" s="38" t="s">
        <v>177</v>
      </c>
      <c r="AZ90" s="38">
        <v>45</v>
      </c>
      <c r="BA90" s="38">
        <v>90</v>
      </c>
      <c r="BB90" s="38">
        <f>IF(AND(PCdb[[#This Row],[BCD]]&gt;UIoptions!$S$10,PCdb[[#This Row],[BCD]]&lt;UIoptions!$T$10),1,0)</f>
        <v>0</v>
      </c>
      <c r="BC90" s="38">
        <f>IF(AND(PCdb[[#This Row],[PD]]&gt;UIoptions!$S$11,PCdb[[#This Row],[PD]]&lt;UIoptions!$T$11),1,0)</f>
        <v>0</v>
      </c>
      <c r="BD90" s="38">
        <f>IF(AND(UIoptions!$P$14&lt;=PCdb[[#This Row],[PL (MAX)]],UIoptions!$P$14&gt;UIoptions!$S$14),1,0)</f>
        <v>1</v>
      </c>
      <c r="BE90" s="38">
        <f>IF(AND(PCdb[[#This Row],[SD]]&gt;UIoptions!$S$12,PCdb[[#This Row],[SD]]&lt;UIoptions!$T$12),1,0)</f>
        <v>0</v>
      </c>
      <c r="BF90" s="38">
        <f>IF(AND(PCdb[[#This Row],[SL]]&gt;UIoptions!$S$13,PCdb[[#This Row],[SL]]&lt;UIoptions!$T$13),1,0)</f>
        <v>0</v>
      </c>
      <c r="BG90" s="38">
        <f>IF(UIoptions!$N$35=1,IF(AND(PCdb[[#This Row],[SQ_SZ]]&gt;UIoptions!$S$15,PCdb[[#This Row],[SQ_SZ]]&lt;UIoptions!$T$15),1,0),1)</f>
        <v>0</v>
      </c>
      <c r="BH90" s="38">
        <f>IF(UIoptions!$N$35=2,IF(AND(PCdb[[#This Row],[ROUND_D]]&gt;UIoptions!$S$15,PCdb[[#This Row],[ROUND_D]]&lt;UIoptions!$T$15),1,0),1)</f>
        <v>1</v>
      </c>
      <c r="BI90" s="38">
        <f>IF(UIoptions!$N$75&lt;&gt;1,1,IF(AND(PCdb[[#This Row],[FL]]&gt;UIoptions!$S$16,PCdb[[#This Row],[FL]]&lt;UIoptions!$T$16),1,0))</f>
        <v>0</v>
      </c>
      <c r="BJ90" s="38" t="e">
        <f>IF(OR(UIoptions!$Q$18=PCdb[[#This Row],[THRU_SCREW]],UIoptions!$Q$18="NA"),1,0)</f>
        <v>#N/A</v>
      </c>
      <c r="BK90" s="38">
        <f>IF(OR(UIoptions!$P$19=PCdb[[#This Row],[THREAD_SZ]],UIoptions!$P$19="NA"),1,0)</f>
        <v>1</v>
      </c>
      <c r="BL90" s="38">
        <f>IF(UIoptions!$N$75=1,1,IF(AND(PCdb[[#This Row],[THREAD_L]]&gt;UIoptions!$S$17,PCdb[[#This Row],[THREAD_L]]&lt;UIoptions!$T$17),1,0))</f>
        <v>1</v>
      </c>
      <c r="BM90" s="38" t="e">
        <f>IF(SUM(PCdb[[#This Row],[BDhit]:[THREAD_Lhit]])=11,1,0)</f>
        <v>#N/A</v>
      </c>
      <c r="BN9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98.473.03412.731.887.1NA9.9M5NANA4</v>
      </c>
      <c r="BO90" s="38" t="e">
        <f>SUM(PCdb[[#This Row],[BDhit]:[THREAD_Lhit]])</f>
        <v>#N/A</v>
      </c>
    </row>
    <row r="91" spans="1:67" x14ac:dyDescent="0.25">
      <c r="A91" s="7">
        <v>88</v>
      </c>
      <c r="B91" s="93">
        <v>46</v>
      </c>
      <c r="C91" s="93">
        <v>30</v>
      </c>
      <c r="D91" s="93">
        <v>4</v>
      </c>
      <c r="E91" s="93">
        <v>8</v>
      </c>
      <c r="F91" s="93">
        <v>25</v>
      </c>
      <c r="G91" s="93">
        <v>40.9</v>
      </c>
      <c r="H91" s="93" t="s">
        <v>87</v>
      </c>
      <c r="I91" s="93">
        <v>5</v>
      </c>
      <c r="J91" s="93" t="s">
        <v>7</v>
      </c>
      <c r="K91" s="93" t="s">
        <v>87</v>
      </c>
      <c r="L91" s="93" t="s">
        <v>87</v>
      </c>
      <c r="M91" s="93">
        <v>4</v>
      </c>
      <c r="N91" s="38" t="s">
        <v>7</v>
      </c>
      <c r="O91" s="38">
        <v>38.700000000000003</v>
      </c>
      <c r="P91" s="38">
        <v>3</v>
      </c>
      <c r="Q91" s="38">
        <v>32</v>
      </c>
      <c r="R91" s="38" t="s">
        <v>130</v>
      </c>
      <c r="S91" s="38" t="s">
        <v>171</v>
      </c>
      <c r="T91" s="38">
        <v>45</v>
      </c>
      <c r="U91" s="38">
        <v>90</v>
      </c>
      <c r="V91" s="38">
        <v>41.7</v>
      </c>
      <c r="W91" s="38">
        <v>15.5</v>
      </c>
      <c r="X91" s="38">
        <v>0</v>
      </c>
      <c r="Y91" s="38" t="s">
        <v>134</v>
      </c>
      <c r="Z91" s="38" t="s">
        <v>171</v>
      </c>
      <c r="AA91" s="38">
        <v>45</v>
      </c>
      <c r="AB91" s="38">
        <v>90</v>
      </c>
      <c r="AC91" s="38">
        <v>48.7</v>
      </c>
      <c r="AD91" s="38">
        <v>17</v>
      </c>
      <c r="AE91" s="38">
        <v>0</v>
      </c>
      <c r="AF91" s="38" t="s">
        <v>134</v>
      </c>
      <c r="AG91" s="38" t="s">
        <v>171</v>
      </c>
      <c r="AH91" s="38">
        <v>45</v>
      </c>
      <c r="AI91" s="38">
        <v>90</v>
      </c>
      <c r="AJ91" s="38">
        <v>17.5</v>
      </c>
      <c r="AK91" s="38">
        <v>0</v>
      </c>
      <c r="AL91" s="38" t="s">
        <v>130</v>
      </c>
      <c r="AM91" s="38" t="s">
        <v>176</v>
      </c>
      <c r="AN91" s="38">
        <v>45</v>
      </c>
      <c r="AO91" s="38">
        <v>90</v>
      </c>
      <c r="AP91" s="38">
        <v>17.5</v>
      </c>
      <c r="AQ91" s="38">
        <v>0</v>
      </c>
      <c r="AR91" s="38" t="s">
        <v>130</v>
      </c>
      <c r="AS91" s="38" t="s">
        <v>176</v>
      </c>
      <c r="AT91" s="38">
        <v>45</v>
      </c>
      <c r="AU91" s="38">
        <v>90</v>
      </c>
      <c r="AV91" s="38">
        <v>17.5</v>
      </c>
      <c r="AW91" s="38">
        <v>0</v>
      </c>
      <c r="AX91" s="38" t="s">
        <v>130</v>
      </c>
      <c r="AY91" s="38" t="s">
        <v>176</v>
      </c>
      <c r="AZ91" s="38">
        <v>45</v>
      </c>
      <c r="BA91" s="38">
        <v>90</v>
      </c>
      <c r="BB91" s="38">
        <f>IF(AND(PCdb[[#This Row],[BCD]]&gt;UIoptions!$S$10,PCdb[[#This Row],[BCD]]&lt;UIoptions!$T$10),1,0)</f>
        <v>0</v>
      </c>
      <c r="BC91" s="38">
        <f>IF(AND(PCdb[[#This Row],[PD]]&gt;UIoptions!$S$11,PCdb[[#This Row],[PD]]&lt;UIoptions!$T$11),1,0)</f>
        <v>0</v>
      </c>
      <c r="BD91" s="38">
        <f>IF(AND(UIoptions!$P$14&lt;=PCdb[[#This Row],[PL (MAX)]],UIoptions!$P$14&gt;UIoptions!$S$14),1,0)</f>
        <v>1</v>
      </c>
      <c r="BE91" s="38">
        <f>IF(AND(PCdb[[#This Row],[SD]]&gt;UIoptions!$S$12,PCdb[[#This Row],[SD]]&lt;UIoptions!$T$12),1,0)</f>
        <v>0</v>
      </c>
      <c r="BF91" s="38">
        <f>IF(AND(PCdb[[#This Row],[SL]]&gt;UIoptions!$S$13,PCdb[[#This Row],[SL]]&lt;UIoptions!$T$13),1,0)</f>
        <v>0</v>
      </c>
      <c r="BG91" s="38">
        <f>IF(UIoptions!$N$35=1,IF(AND(PCdb[[#This Row],[SQ_SZ]]&gt;UIoptions!$S$15,PCdb[[#This Row],[SQ_SZ]]&lt;UIoptions!$T$15),1,0),1)</f>
        <v>0</v>
      </c>
      <c r="BH91" s="38">
        <f>IF(UIoptions!$N$35=2,IF(AND(PCdb[[#This Row],[ROUND_D]]&gt;UIoptions!$S$15,PCdb[[#This Row],[ROUND_D]]&lt;UIoptions!$T$15),1,0),1)</f>
        <v>1</v>
      </c>
      <c r="BI91" s="38">
        <f>IF(UIoptions!$N$75&lt;&gt;1,1,IF(AND(PCdb[[#This Row],[FL]]&gt;UIoptions!$S$16,PCdb[[#This Row],[FL]]&lt;UIoptions!$T$16),1,0))</f>
        <v>0</v>
      </c>
      <c r="BJ91" s="38" t="e">
        <f>IF(OR(UIoptions!$Q$18=PCdb[[#This Row],[THRU_SCREW]],UIoptions!$Q$18="NA"),1,0)</f>
        <v>#N/A</v>
      </c>
      <c r="BK91" s="38">
        <f>IF(OR(UIoptions!$P$19=PCdb[[#This Row],[THREAD_SZ]],UIoptions!$P$19="NA"),1,0)</f>
        <v>1</v>
      </c>
      <c r="BL91" s="38">
        <f>IF(UIoptions!$N$75=1,1,IF(AND(PCdb[[#This Row],[THREAD_L]]&gt;UIoptions!$S$17,PCdb[[#This Row],[THREAD_L]]&lt;UIoptions!$T$17),1,0))</f>
        <v>1</v>
      </c>
      <c r="BM91" s="38" t="e">
        <f>IF(SUM(PCdb[[#This Row],[BDhit]:[THREAD_Lhit]])=11,1,0)</f>
        <v>#N/A</v>
      </c>
      <c r="BN9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4630482540.9NA5M4NANA4</v>
      </c>
      <c r="BO91" s="38" t="e">
        <f>SUM(PCdb[[#This Row],[BDhit]:[THREAD_Lhit]])</f>
        <v>#N/A</v>
      </c>
    </row>
    <row r="92" spans="1:67" x14ac:dyDescent="0.25">
      <c r="A92" s="7">
        <v>89</v>
      </c>
      <c r="B92" s="93">
        <v>75</v>
      </c>
      <c r="C92" s="93">
        <v>60</v>
      </c>
      <c r="D92" s="93">
        <v>4</v>
      </c>
      <c r="E92" s="93">
        <v>14</v>
      </c>
      <c r="F92" s="93">
        <v>30</v>
      </c>
      <c r="G92" s="93">
        <v>70</v>
      </c>
      <c r="H92" s="93" t="s">
        <v>87</v>
      </c>
      <c r="I92" s="93">
        <v>5.8</v>
      </c>
      <c r="J92" s="93" t="s">
        <v>45</v>
      </c>
      <c r="K92" s="93" t="s">
        <v>87</v>
      </c>
      <c r="L92" s="93" t="s">
        <v>87</v>
      </c>
      <c r="M92" s="93">
        <v>4</v>
      </c>
      <c r="N92" s="38" t="s">
        <v>45</v>
      </c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25">
        <v>48.7</v>
      </c>
      <c r="AD92" s="38">
        <v>32</v>
      </c>
      <c r="AE92" s="38" t="s">
        <v>87</v>
      </c>
      <c r="AF92" s="38" t="s">
        <v>130</v>
      </c>
      <c r="AG92" s="38" t="s">
        <v>172</v>
      </c>
      <c r="AH92" s="38">
        <v>45</v>
      </c>
      <c r="AI92" s="38">
        <v>90</v>
      </c>
      <c r="AJ92" s="38"/>
      <c r="AK92" s="38"/>
      <c r="AL92" s="38"/>
      <c r="AM92" s="38"/>
      <c r="AN92" s="38"/>
      <c r="AO92" s="38"/>
      <c r="AP92" s="38">
        <v>32</v>
      </c>
      <c r="AQ92" s="38" t="s">
        <v>87</v>
      </c>
      <c r="AR92" s="38" t="s">
        <v>130</v>
      </c>
      <c r="AS92" s="38" t="s">
        <v>177</v>
      </c>
      <c r="AT92" s="38">
        <v>45</v>
      </c>
      <c r="AU92" s="38">
        <v>90</v>
      </c>
      <c r="AV92" s="38">
        <v>32</v>
      </c>
      <c r="AW92" s="38">
        <v>0</v>
      </c>
      <c r="AX92" s="38" t="s">
        <v>130</v>
      </c>
      <c r="AY92" s="38" t="s">
        <v>176</v>
      </c>
      <c r="AZ92" s="38">
        <v>45</v>
      </c>
      <c r="BA92" s="38">
        <v>90</v>
      </c>
      <c r="BB92" s="38">
        <f>IF(AND(PCdb[[#This Row],[BCD]]&gt;UIoptions!$S$10,PCdb[[#This Row],[BCD]]&lt;UIoptions!$T$10),1,0)</f>
        <v>1</v>
      </c>
      <c r="BC92" s="38">
        <f>IF(AND(PCdb[[#This Row],[PD]]&gt;UIoptions!$S$11,PCdb[[#This Row],[PD]]&lt;UIoptions!$T$11),1,0)</f>
        <v>1</v>
      </c>
      <c r="BD92" s="38">
        <f>IF(AND(UIoptions!$P$14&lt;=PCdb[[#This Row],[PL (MAX)]],UIoptions!$P$14&gt;UIoptions!$S$14),1,0)</f>
        <v>1</v>
      </c>
      <c r="BE92" s="38">
        <f>IF(AND(PCdb[[#This Row],[SD]]&gt;UIoptions!$S$12,PCdb[[#This Row],[SD]]&lt;UIoptions!$T$12),1,0)</f>
        <v>0</v>
      </c>
      <c r="BF92" s="38">
        <f>IF(AND(PCdb[[#This Row],[SL]]&gt;UIoptions!$S$13,PCdb[[#This Row],[SL]]&lt;UIoptions!$T$13),1,0)</f>
        <v>0</v>
      </c>
      <c r="BG92" s="38">
        <f>IF(UIoptions!$N$35=1,IF(AND(PCdb[[#This Row],[SQ_SZ]]&gt;UIoptions!$S$15,PCdb[[#This Row],[SQ_SZ]]&lt;UIoptions!$T$15),1,0),1)</f>
        <v>1</v>
      </c>
      <c r="BH92" s="38">
        <f>IF(UIoptions!$N$35=2,IF(AND(PCdb[[#This Row],[ROUND_D]]&gt;UIoptions!$S$15,PCdb[[#This Row],[ROUND_D]]&lt;UIoptions!$T$15),1,0),1)</f>
        <v>1</v>
      </c>
      <c r="BI92" s="38">
        <f>IF(UIoptions!$N$75&lt;&gt;1,1,IF(AND(PCdb[[#This Row],[FL]]&gt;UIoptions!$S$16,PCdb[[#This Row],[FL]]&lt;UIoptions!$T$16),1,0))</f>
        <v>0</v>
      </c>
      <c r="BJ92" s="38" t="e">
        <f>IF(OR(UIoptions!$Q$18=PCdb[[#This Row],[THRU_SCREW]],UIoptions!$Q$18="NA"),1,0)</f>
        <v>#N/A</v>
      </c>
      <c r="BK92" s="38">
        <f>IF(OR(UIoptions!$P$19=PCdb[[#This Row],[THREAD_SZ]],UIoptions!$P$19="NA"),1,0)</f>
        <v>1</v>
      </c>
      <c r="BL92" s="38">
        <f>IF(UIoptions!$N$75=1,1,IF(AND(PCdb[[#This Row],[THREAD_L]]&gt;UIoptions!$S$17,PCdb[[#This Row],[THREAD_L]]&lt;UIoptions!$T$17),1,0))</f>
        <v>1</v>
      </c>
      <c r="BM92" s="38" t="e">
        <f>IF(SUM(PCdb[[#This Row],[BDhit]:[THREAD_Lhit]])=11,1,0)</f>
        <v>#N/A</v>
      </c>
      <c r="BN9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75604143070NA5.8M5NANA4</v>
      </c>
      <c r="BO92" s="38" t="e">
        <f>SUM(PCdb[[#This Row],[BDhit]:[THREAD_Lhit]])</f>
        <v>#N/A</v>
      </c>
    </row>
    <row r="93" spans="1:67" x14ac:dyDescent="0.25">
      <c r="A93" s="7">
        <v>90</v>
      </c>
      <c r="B93" s="93">
        <v>66.7</v>
      </c>
      <c r="C93" s="93">
        <v>38.1</v>
      </c>
      <c r="D93" s="93">
        <v>4</v>
      </c>
      <c r="E93" s="93">
        <v>6.35</v>
      </c>
      <c r="F93" s="93">
        <v>20.6</v>
      </c>
      <c r="G93" s="93">
        <v>57.2</v>
      </c>
      <c r="H93" s="93" t="s">
        <v>87</v>
      </c>
      <c r="I93" s="93">
        <v>6.4</v>
      </c>
      <c r="J93" s="93" t="s">
        <v>7</v>
      </c>
      <c r="K93" s="93" t="s">
        <v>87</v>
      </c>
      <c r="L93" s="93" t="s">
        <v>87</v>
      </c>
      <c r="M93" s="93">
        <v>4</v>
      </c>
      <c r="N93" s="38" t="s">
        <v>7</v>
      </c>
      <c r="O93" s="38"/>
      <c r="P93" s="38"/>
      <c r="Q93" s="38"/>
      <c r="R93" s="38"/>
      <c r="S93" s="38"/>
      <c r="T93" s="38"/>
      <c r="U93" s="38"/>
      <c r="V93" s="25">
        <v>45.2</v>
      </c>
      <c r="W93" s="38">
        <v>26</v>
      </c>
      <c r="X93" s="38" t="s">
        <v>87</v>
      </c>
      <c r="Y93" s="38" t="s">
        <v>130</v>
      </c>
      <c r="Z93" s="38" t="s">
        <v>172</v>
      </c>
      <c r="AA93" s="38">
        <v>45</v>
      </c>
      <c r="AB93" s="38">
        <v>90</v>
      </c>
      <c r="AC93" s="38"/>
      <c r="AD93" s="38"/>
      <c r="AE93" s="38"/>
      <c r="AF93" s="38"/>
      <c r="AG93" s="38"/>
      <c r="AH93" s="38"/>
      <c r="AI93" s="38"/>
      <c r="AJ93" s="38">
        <v>22</v>
      </c>
      <c r="AK93" s="38">
        <v>0</v>
      </c>
      <c r="AL93" s="38" t="s">
        <v>130</v>
      </c>
      <c r="AM93" s="38" t="s">
        <v>177</v>
      </c>
      <c r="AN93" s="38">
        <v>45</v>
      </c>
      <c r="AO93" s="38">
        <v>90</v>
      </c>
      <c r="AP93" s="38">
        <v>22</v>
      </c>
      <c r="AQ93" s="38">
        <v>0</v>
      </c>
      <c r="AR93" s="38" t="s">
        <v>130</v>
      </c>
      <c r="AS93" s="38" t="s">
        <v>176</v>
      </c>
      <c r="AT93" s="38">
        <v>45</v>
      </c>
      <c r="AU93" s="38">
        <v>90</v>
      </c>
      <c r="AV93" s="38">
        <v>22</v>
      </c>
      <c r="AW93" s="38">
        <v>0</v>
      </c>
      <c r="AX93" s="38" t="s">
        <v>130</v>
      </c>
      <c r="AY93" s="38" t="s">
        <v>176</v>
      </c>
      <c r="AZ93" s="38">
        <v>45</v>
      </c>
      <c r="BA93" s="38">
        <v>90</v>
      </c>
      <c r="BB93" s="38">
        <f>IF(AND(PCdb[[#This Row],[BCD]]&gt;UIoptions!$S$10,PCdb[[#This Row],[BCD]]&lt;UIoptions!$T$10),1,0)</f>
        <v>0</v>
      </c>
      <c r="BC93" s="38">
        <f>IF(AND(PCdb[[#This Row],[PD]]&gt;UIoptions!$S$11,PCdb[[#This Row],[PD]]&lt;UIoptions!$T$11),1,0)</f>
        <v>0</v>
      </c>
      <c r="BD93" s="38">
        <f>IF(AND(UIoptions!$P$14&lt;=PCdb[[#This Row],[PL (MAX)]],UIoptions!$P$14&gt;UIoptions!$S$14),1,0)</f>
        <v>1</v>
      </c>
      <c r="BE93" s="38">
        <f>IF(AND(PCdb[[#This Row],[SD]]&gt;UIoptions!$S$12,PCdb[[#This Row],[SD]]&lt;UIoptions!$T$12),1,0)</f>
        <v>0</v>
      </c>
      <c r="BF93" s="38">
        <f>IF(AND(PCdb[[#This Row],[SL]]&gt;UIoptions!$S$13,PCdb[[#This Row],[SL]]&lt;UIoptions!$T$13),1,0)</f>
        <v>0</v>
      </c>
      <c r="BG93" s="38">
        <f>IF(UIoptions!$N$35=1,IF(AND(PCdb[[#This Row],[SQ_SZ]]&gt;UIoptions!$S$15,PCdb[[#This Row],[SQ_SZ]]&lt;UIoptions!$T$15),1,0),1)</f>
        <v>0</v>
      </c>
      <c r="BH93" s="38">
        <f>IF(UIoptions!$N$35=2,IF(AND(PCdb[[#This Row],[ROUND_D]]&gt;UIoptions!$S$15,PCdb[[#This Row],[ROUND_D]]&lt;UIoptions!$T$15),1,0),1)</f>
        <v>1</v>
      </c>
      <c r="BI93" s="38">
        <f>IF(UIoptions!$N$75&lt;&gt;1,1,IF(AND(PCdb[[#This Row],[FL]]&gt;UIoptions!$S$16,PCdb[[#This Row],[FL]]&lt;UIoptions!$T$16),1,0))</f>
        <v>0</v>
      </c>
      <c r="BJ93" s="38" t="e">
        <f>IF(OR(UIoptions!$Q$18=PCdb[[#This Row],[THRU_SCREW]],UIoptions!$Q$18="NA"),1,0)</f>
        <v>#N/A</v>
      </c>
      <c r="BK93" s="38">
        <f>IF(OR(UIoptions!$P$19=PCdb[[#This Row],[THREAD_SZ]],UIoptions!$P$19="NA"),1,0)</f>
        <v>1</v>
      </c>
      <c r="BL93" s="38">
        <f>IF(UIoptions!$N$75=1,1,IF(AND(PCdb[[#This Row],[THREAD_L]]&gt;UIoptions!$S$17,PCdb[[#This Row],[THREAD_L]]&lt;UIoptions!$T$17),1,0))</f>
        <v>1</v>
      </c>
      <c r="BM93" s="38" t="e">
        <f>IF(SUM(PCdb[[#This Row],[BDhit]:[THREAD_Lhit]])=11,1,0)</f>
        <v>#N/A</v>
      </c>
      <c r="BN9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66.738.146.3520.657.2NA6.4M4NANA4</v>
      </c>
      <c r="BO93" s="38" t="e">
        <f>SUM(PCdb[[#This Row],[BDhit]:[THREAD_Lhit]])</f>
        <v>#N/A</v>
      </c>
    </row>
    <row r="94" spans="1:67" x14ac:dyDescent="0.25">
      <c r="A94" s="7">
        <v>91</v>
      </c>
      <c r="B94" s="93">
        <v>66.7</v>
      </c>
      <c r="C94" s="93">
        <v>38.1</v>
      </c>
      <c r="D94" s="93">
        <v>4</v>
      </c>
      <c r="E94" s="93">
        <v>9.5299999999999994</v>
      </c>
      <c r="F94" s="93">
        <v>20.6</v>
      </c>
      <c r="G94" s="93">
        <v>59.1</v>
      </c>
      <c r="H94" s="93" t="s">
        <v>87</v>
      </c>
      <c r="I94" s="93">
        <v>4.7</v>
      </c>
      <c r="J94" s="93" t="s">
        <v>7</v>
      </c>
      <c r="K94" s="93" t="s">
        <v>87</v>
      </c>
      <c r="L94" s="93" t="s">
        <v>87</v>
      </c>
      <c r="M94" s="93">
        <v>4</v>
      </c>
      <c r="N94" s="38" t="s">
        <v>7</v>
      </c>
      <c r="O94" s="38">
        <v>38.700000000000003</v>
      </c>
      <c r="P94" s="38">
        <v>22</v>
      </c>
      <c r="Q94" s="38">
        <v>0</v>
      </c>
      <c r="R94" s="38" t="s">
        <v>130</v>
      </c>
      <c r="S94" s="38" t="s">
        <v>172</v>
      </c>
      <c r="T94" s="38">
        <v>45</v>
      </c>
      <c r="U94" s="38">
        <v>90</v>
      </c>
      <c r="V94" s="38">
        <v>45.2</v>
      </c>
      <c r="W94" s="38">
        <v>26</v>
      </c>
      <c r="X94" s="38">
        <v>0</v>
      </c>
      <c r="Y94" s="38" t="s">
        <v>130</v>
      </c>
      <c r="Z94" s="38" t="s">
        <v>172</v>
      </c>
      <c r="AA94" s="38">
        <v>45</v>
      </c>
      <c r="AB94" s="38">
        <v>90</v>
      </c>
      <c r="AC94" s="38">
        <v>48.7</v>
      </c>
      <c r="AD94" s="38">
        <v>4</v>
      </c>
      <c r="AE94" s="38">
        <v>47</v>
      </c>
      <c r="AF94" s="38" t="s">
        <v>130</v>
      </c>
      <c r="AG94" s="38" t="s">
        <v>171</v>
      </c>
      <c r="AH94" s="38">
        <v>45</v>
      </c>
      <c r="AI94" s="38">
        <v>90</v>
      </c>
      <c r="AJ94" s="38">
        <v>22</v>
      </c>
      <c r="AK94" s="38">
        <v>0</v>
      </c>
      <c r="AL94" s="38" t="s">
        <v>130</v>
      </c>
      <c r="AM94" s="38" t="s">
        <v>177</v>
      </c>
      <c r="AN94" s="38">
        <v>45</v>
      </c>
      <c r="AO94" s="38">
        <v>90</v>
      </c>
      <c r="AP94" s="38">
        <v>22</v>
      </c>
      <c r="AQ94" s="38">
        <v>0</v>
      </c>
      <c r="AR94" s="38" t="s">
        <v>130</v>
      </c>
      <c r="AS94" s="38" t="s">
        <v>176</v>
      </c>
      <c r="AT94" s="38">
        <v>45</v>
      </c>
      <c r="AU94" s="38">
        <v>90</v>
      </c>
      <c r="AV94" s="38">
        <v>22</v>
      </c>
      <c r="AW94" s="38">
        <v>0</v>
      </c>
      <c r="AX94" s="38" t="s">
        <v>130</v>
      </c>
      <c r="AY94" s="38" t="s">
        <v>176</v>
      </c>
      <c r="AZ94" s="38">
        <v>45</v>
      </c>
      <c r="BA94" s="38">
        <v>90</v>
      </c>
      <c r="BB94" s="38">
        <f>IF(AND(PCdb[[#This Row],[BCD]]&gt;UIoptions!$S$10,PCdb[[#This Row],[BCD]]&lt;UIoptions!$T$10),1,0)</f>
        <v>0</v>
      </c>
      <c r="BC94" s="38">
        <f>IF(AND(PCdb[[#This Row],[PD]]&gt;UIoptions!$S$11,PCdb[[#This Row],[PD]]&lt;UIoptions!$T$11),1,0)</f>
        <v>0</v>
      </c>
      <c r="BD94" s="38">
        <f>IF(AND(UIoptions!$P$14&lt;=PCdb[[#This Row],[PL (MAX)]],UIoptions!$P$14&gt;UIoptions!$S$14),1,0)</f>
        <v>1</v>
      </c>
      <c r="BE94" s="38">
        <f>IF(AND(PCdb[[#This Row],[SD]]&gt;UIoptions!$S$12,PCdb[[#This Row],[SD]]&lt;UIoptions!$T$12),1,0)</f>
        <v>0</v>
      </c>
      <c r="BF94" s="38">
        <f>IF(AND(PCdb[[#This Row],[SL]]&gt;UIoptions!$S$13,PCdb[[#This Row],[SL]]&lt;UIoptions!$T$13),1,0)</f>
        <v>0</v>
      </c>
      <c r="BG94" s="38">
        <f>IF(UIoptions!$N$35=1,IF(AND(PCdb[[#This Row],[SQ_SZ]]&gt;UIoptions!$S$15,PCdb[[#This Row],[SQ_SZ]]&lt;UIoptions!$T$15),1,0),1)</f>
        <v>0</v>
      </c>
      <c r="BH94" s="38">
        <f>IF(UIoptions!$N$35=2,IF(AND(PCdb[[#This Row],[ROUND_D]]&gt;UIoptions!$S$15,PCdb[[#This Row],[ROUND_D]]&lt;UIoptions!$T$15),1,0),1)</f>
        <v>1</v>
      </c>
      <c r="BI94" s="38">
        <f>IF(UIoptions!$N$75&lt;&gt;1,1,IF(AND(PCdb[[#This Row],[FL]]&gt;UIoptions!$S$16,PCdb[[#This Row],[FL]]&lt;UIoptions!$T$16),1,0))</f>
        <v>0</v>
      </c>
      <c r="BJ94" s="38" t="e">
        <f>IF(OR(UIoptions!$Q$18=PCdb[[#This Row],[THRU_SCREW]],UIoptions!$Q$18="NA"),1,0)</f>
        <v>#N/A</v>
      </c>
      <c r="BK94" s="38">
        <f>IF(OR(UIoptions!$P$19=PCdb[[#This Row],[THREAD_SZ]],UIoptions!$P$19="NA"),1,0)</f>
        <v>1</v>
      </c>
      <c r="BL94" s="38">
        <f>IF(UIoptions!$N$75=1,1,IF(AND(PCdb[[#This Row],[THREAD_L]]&gt;UIoptions!$S$17,PCdb[[#This Row],[THREAD_L]]&lt;UIoptions!$T$17),1,0))</f>
        <v>1</v>
      </c>
      <c r="BM94" s="38" t="e">
        <f>IF(SUM(PCdb[[#This Row],[BDhit]:[THREAD_Lhit]])=11,1,0)</f>
        <v>#N/A</v>
      </c>
      <c r="BN9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66.738.149.5320.659.1NA4.7M4NANA4</v>
      </c>
      <c r="BO94" s="38" t="e">
        <f>SUM(PCdb[[#This Row],[BDhit]:[THREAD_Lhit]])</f>
        <v>#N/A</v>
      </c>
    </row>
    <row r="95" spans="1:67" x14ac:dyDescent="0.25">
      <c r="A95" s="7">
        <v>197</v>
      </c>
      <c r="B95" s="93">
        <v>100</v>
      </c>
      <c r="C95" s="93">
        <v>80</v>
      </c>
      <c r="D95" s="93">
        <v>4</v>
      </c>
      <c r="E95" s="93">
        <v>14</v>
      </c>
      <c r="F95" s="93">
        <v>30</v>
      </c>
      <c r="G95" s="93">
        <v>84</v>
      </c>
      <c r="H95" s="93" t="s">
        <v>87</v>
      </c>
      <c r="I95" s="93">
        <v>8</v>
      </c>
      <c r="J95" s="93" t="s">
        <v>49</v>
      </c>
      <c r="K95" s="93" t="s">
        <v>87</v>
      </c>
      <c r="L95" s="93" t="s">
        <v>87</v>
      </c>
      <c r="M95" s="93">
        <v>4</v>
      </c>
      <c r="N95" s="38" t="s">
        <v>49</v>
      </c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>
        <v>48.7</v>
      </c>
      <c r="AD95" s="38">
        <v>41</v>
      </c>
      <c r="AE95" s="38" t="s">
        <v>87</v>
      </c>
      <c r="AF95" s="38" t="s">
        <v>130</v>
      </c>
      <c r="AG95" s="38" t="s">
        <v>172</v>
      </c>
      <c r="AH95" s="38">
        <v>45</v>
      </c>
      <c r="AI95" s="38">
        <v>90</v>
      </c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>
        <v>41</v>
      </c>
      <c r="AW95" s="38">
        <v>0</v>
      </c>
      <c r="AX95" s="38" t="s">
        <v>130</v>
      </c>
      <c r="AY95" s="38" t="s">
        <v>177</v>
      </c>
      <c r="AZ95" s="38">
        <v>45</v>
      </c>
      <c r="BA95" s="38">
        <v>90</v>
      </c>
      <c r="BB95" s="38">
        <f>IF(AND(PCdb[[#This Row],[BCD]]&gt;UIoptions!$S$10,PCdb[[#This Row],[BCD]]&lt;UIoptions!$T$10),1,0)</f>
        <v>0</v>
      </c>
      <c r="BC95" s="38">
        <f>IF(AND(PCdb[[#This Row],[PD]]&gt;UIoptions!$S$11,PCdb[[#This Row],[PD]]&lt;UIoptions!$T$11),1,0)</f>
        <v>0</v>
      </c>
      <c r="BD95" s="38">
        <f>IF(AND(UIoptions!$P$14&lt;=PCdb[[#This Row],[PL (MAX)]],UIoptions!$P$14&gt;UIoptions!$S$14),1,0)</f>
        <v>1</v>
      </c>
      <c r="BE95" s="38">
        <f>IF(AND(PCdb[[#This Row],[SD]]&gt;UIoptions!$S$12,PCdb[[#This Row],[SD]]&lt;UIoptions!$T$12),1,0)</f>
        <v>0</v>
      </c>
      <c r="BF95" s="38">
        <f>IF(AND(PCdb[[#This Row],[SL]]&gt;UIoptions!$S$13,PCdb[[#This Row],[SL]]&lt;UIoptions!$T$13),1,0)</f>
        <v>0</v>
      </c>
      <c r="BG95" s="38">
        <f>IF(UIoptions!$N$35=1,IF(AND(PCdb[[#This Row],[SQ_SZ]]&gt;UIoptions!$S$15,PCdb[[#This Row],[SQ_SZ]]&lt;UIoptions!$T$15),1,0),1)</f>
        <v>0</v>
      </c>
      <c r="BH95" s="38">
        <f>IF(UIoptions!$N$35=2,IF(AND(PCdb[[#This Row],[ROUND_D]]&gt;UIoptions!$S$15,PCdb[[#This Row],[ROUND_D]]&lt;UIoptions!$T$15),1,0),1)</f>
        <v>1</v>
      </c>
      <c r="BI95" s="38">
        <f>IF(UIoptions!$N$75&lt;&gt;1,1,IF(AND(PCdb[[#This Row],[FL]]&gt;UIoptions!$S$16,PCdb[[#This Row],[FL]]&lt;UIoptions!$T$16),1,0))</f>
        <v>0</v>
      </c>
      <c r="BJ95" s="38" t="e">
        <f>IF(OR(UIoptions!$Q$18=PCdb[[#This Row],[THRU_SCREW]],UIoptions!$Q$18="NA"),1,0)</f>
        <v>#N/A</v>
      </c>
      <c r="BK95" s="38">
        <f>IF(OR(UIoptions!$P$19=PCdb[[#This Row],[THREAD_SZ]],UIoptions!$P$19="NA"),1,0)</f>
        <v>1</v>
      </c>
      <c r="BL95" s="38">
        <f>IF(UIoptions!$N$75=1,1,IF(AND(PCdb[[#This Row],[THREAD_L]]&gt;UIoptions!$S$17,PCdb[[#This Row],[THREAD_L]]&lt;UIoptions!$T$17),1,0))</f>
        <v>1</v>
      </c>
      <c r="BM95" s="38" t="e">
        <f>IF(SUM(PCdb[[#This Row],[BDhit]:[THREAD_Lhit]])=11,1,0)</f>
        <v>#N/A</v>
      </c>
      <c r="BN9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100804143084NA8M6NANA4</v>
      </c>
      <c r="BO95" s="38" t="e">
        <f>SUM(PCdb[[#This Row],[BDhit]:[THREAD_Lhit]])</f>
        <v>#N/A</v>
      </c>
    </row>
    <row r="96" spans="1:67" x14ac:dyDescent="0.25">
      <c r="A96" s="7">
        <v>367</v>
      </c>
      <c r="B96" s="93">
        <v>46</v>
      </c>
      <c r="C96" s="93">
        <v>30</v>
      </c>
      <c r="D96" s="93">
        <v>4</v>
      </c>
      <c r="E96" s="93">
        <v>8</v>
      </c>
      <c r="F96" s="93">
        <v>25</v>
      </c>
      <c r="G96" s="93">
        <v>40</v>
      </c>
      <c r="H96" s="93" t="s">
        <v>87</v>
      </c>
      <c r="I96" s="93">
        <v>4</v>
      </c>
      <c r="J96" s="93" t="s">
        <v>7</v>
      </c>
      <c r="K96" s="93" t="s">
        <v>87</v>
      </c>
      <c r="L96" s="93" t="s">
        <v>87</v>
      </c>
      <c r="M96" s="93">
        <v>4</v>
      </c>
      <c r="N96" s="38" t="s">
        <v>7</v>
      </c>
      <c r="O96" s="38">
        <v>38.700000000000003</v>
      </c>
      <c r="P96" s="38">
        <v>2.2000000000000002</v>
      </c>
      <c r="Q96" s="38">
        <v>32.53</v>
      </c>
      <c r="R96" s="38" t="s">
        <v>130</v>
      </c>
      <c r="S96" s="38"/>
      <c r="T96" s="38">
        <v>45</v>
      </c>
      <c r="U96" s="38">
        <v>90</v>
      </c>
      <c r="V96" s="38">
        <v>41.7</v>
      </c>
      <c r="W96" s="38">
        <v>15.5</v>
      </c>
      <c r="X96" s="38" t="s">
        <v>87</v>
      </c>
      <c r="Y96" s="38" t="s">
        <v>130</v>
      </c>
      <c r="Z96" s="38" t="s">
        <v>171</v>
      </c>
      <c r="AA96" s="38">
        <v>45</v>
      </c>
      <c r="AB96" s="38">
        <v>90</v>
      </c>
      <c r="AC96" s="38"/>
      <c r="AD96" s="38"/>
      <c r="AE96" s="38"/>
      <c r="AF96" s="38"/>
      <c r="AG96" s="38"/>
      <c r="AH96" s="38"/>
      <c r="AI96" s="38"/>
      <c r="AJ96" s="38">
        <v>17.5</v>
      </c>
      <c r="AK96" s="38">
        <v>0</v>
      </c>
      <c r="AL96" s="38" t="s">
        <v>130</v>
      </c>
      <c r="AM96" s="38" t="s">
        <v>176</v>
      </c>
      <c r="AN96" s="38">
        <v>45</v>
      </c>
      <c r="AO96" s="38">
        <v>90</v>
      </c>
      <c r="AP96" s="38" t="s">
        <v>134</v>
      </c>
      <c r="AQ96" s="38" t="s">
        <v>134</v>
      </c>
      <c r="AR96" s="38" t="s">
        <v>134</v>
      </c>
      <c r="AS96" s="38"/>
      <c r="AT96" s="38"/>
      <c r="AU96" s="38"/>
      <c r="AV96" s="38"/>
      <c r="AW96" s="38"/>
      <c r="AX96" s="38"/>
      <c r="AY96" s="38"/>
      <c r="AZ96" s="38"/>
      <c r="BA96" s="38"/>
      <c r="BB96" s="38">
        <f>IF(AND(PCdb[[#This Row],[BCD]]&gt;UIoptions!$S$10,PCdb[[#This Row],[BCD]]&lt;UIoptions!$T$10),1,0)</f>
        <v>0</v>
      </c>
      <c r="BC96" s="38">
        <f>IF(AND(PCdb[[#This Row],[PD]]&gt;UIoptions!$S$11,PCdb[[#This Row],[PD]]&lt;UIoptions!$T$11),1,0)</f>
        <v>0</v>
      </c>
      <c r="BD96" s="38">
        <f>IF(AND(UIoptions!$P$14&lt;=PCdb[[#This Row],[PL (MAX)]],UIoptions!$P$14&gt;UIoptions!$S$14),1,0)</f>
        <v>1</v>
      </c>
      <c r="BE96" s="38">
        <f>IF(AND(PCdb[[#This Row],[SD]]&gt;UIoptions!$S$12,PCdb[[#This Row],[SD]]&lt;UIoptions!$T$12),1,0)</f>
        <v>0</v>
      </c>
      <c r="BF96" s="38">
        <f>IF(AND(PCdb[[#This Row],[SL]]&gt;UIoptions!$S$13,PCdb[[#This Row],[SL]]&lt;UIoptions!$T$13),1,0)</f>
        <v>0</v>
      </c>
      <c r="BG96" s="38">
        <f>IF(UIoptions!$N$35=1,IF(AND(PCdb[[#This Row],[SQ_SZ]]&gt;UIoptions!$S$15,PCdb[[#This Row],[SQ_SZ]]&lt;UIoptions!$T$15),1,0),1)</f>
        <v>0</v>
      </c>
      <c r="BH96" s="38">
        <f>IF(UIoptions!$N$35=2,IF(AND(PCdb[[#This Row],[ROUND_D]]&gt;UIoptions!$S$15,PCdb[[#This Row],[ROUND_D]]&lt;UIoptions!$T$15),1,0),1)</f>
        <v>1</v>
      </c>
      <c r="BI96" s="38">
        <f>IF(UIoptions!$N$75&lt;&gt;1,1,IF(AND(PCdb[[#This Row],[FL]]&gt;UIoptions!$S$16,PCdb[[#This Row],[FL]]&lt;UIoptions!$T$16),1,0))</f>
        <v>0</v>
      </c>
      <c r="BJ96" s="38" t="e">
        <f>IF(OR(UIoptions!$Q$18=PCdb[[#This Row],[THRU_SCREW]],UIoptions!$Q$18="NA"),1,0)</f>
        <v>#N/A</v>
      </c>
      <c r="BK96" s="38">
        <f>IF(OR(UIoptions!$P$19=PCdb[[#This Row],[THREAD_SZ]],UIoptions!$P$19="NA"),1,0)</f>
        <v>1</v>
      </c>
      <c r="BL96" s="38">
        <f>IF(UIoptions!$N$75=1,1,IF(AND(PCdb[[#This Row],[THREAD_L]]&gt;UIoptions!$S$17,PCdb[[#This Row],[THREAD_L]]&lt;UIoptions!$T$17),1,0))</f>
        <v>1</v>
      </c>
      <c r="BM96" s="38" t="e">
        <f>IF(SUM(PCdb[[#This Row],[BDhit]:[THREAD_Lhit]])=11,1,0)</f>
        <v>#N/A</v>
      </c>
      <c r="BN9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4630482540NA4M4NANA4</v>
      </c>
      <c r="BO96" s="38" t="e">
        <f>SUM(PCdb[[#This Row],[BDhit]:[THREAD_Lhit]])</f>
        <v>#N/A</v>
      </c>
    </row>
    <row r="97" spans="1:67" x14ac:dyDescent="0.25">
      <c r="A97" s="7">
        <v>92</v>
      </c>
      <c r="B97" s="93">
        <v>32</v>
      </c>
      <c r="C97" s="93">
        <v>25.5</v>
      </c>
      <c r="D97" s="93">
        <v>4</v>
      </c>
      <c r="E97" s="93">
        <v>10</v>
      </c>
      <c r="F97" s="93">
        <v>22</v>
      </c>
      <c r="G97" s="93" t="s">
        <v>87</v>
      </c>
      <c r="H97" s="93">
        <v>44</v>
      </c>
      <c r="I97" s="93" t="s">
        <v>87</v>
      </c>
      <c r="J97" s="93" t="s">
        <v>87</v>
      </c>
      <c r="K97" s="93" t="s">
        <v>7</v>
      </c>
      <c r="L97" s="93">
        <v>8</v>
      </c>
      <c r="M97" s="93">
        <v>3</v>
      </c>
      <c r="N97" s="38">
        <v>5</v>
      </c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>
        <v>0</v>
      </c>
      <c r="AK97" s="38">
        <v>0</v>
      </c>
      <c r="AL97" s="38" t="s">
        <v>130</v>
      </c>
      <c r="AM97" s="38" t="s">
        <v>679</v>
      </c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>
        <f>IF(AND(PCdb[[#This Row],[BCD]]&gt;UIoptions!$S$10,PCdb[[#This Row],[BCD]]&lt;UIoptions!$T$10),1,0)</f>
        <v>0</v>
      </c>
      <c r="BC97" s="38">
        <f>IF(AND(PCdb[[#This Row],[PD]]&gt;UIoptions!$S$11,PCdb[[#This Row],[PD]]&lt;UIoptions!$T$11),1,0)</f>
        <v>0</v>
      </c>
      <c r="BD97" s="38">
        <f>IF(AND(UIoptions!$P$14&lt;=PCdb[[#This Row],[PL (MAX)]],UIoptions!$P$14&gt;UIoptions!$S$14),1,0)</f>
        <v>1</v>
      </c>
      <c r="BE97" s="38">
        <f>IF(AND(PCdb[[#This Row],[SD]]&gt;UIoptions!$S$12,PCdb[[#This Row],[SD]]&lt;UIoptions!$T$12),1,0)</f>
        <v>0</v>
      </c>
      <c r="BF97" s="38">
        <f>IF(AND(PCdb[[#This Row],[SL]]&gt;UIoptions!$S$13,PCdb[[#This Row],[SL]]&lt;UIoptions!$T$13),1,0)</f>
        <v>0</v>
      </c>
      <c r="BG97" s="38">
        <f>IF(UIoptions!$N$35=1,IF(AND(PCdb[[#This Row],[SQ_SZ]]&gt;UIoptions!$S$15,PCdb[[#This Row],[SQ_SZ]]&lt;UIoptions!$T$15),1,0),1)</f>
        <v>0</v>
      </c>
      <c r="BH97" s="38">
        <f>IF(UIoptions!$N$35=2,IF(AND(PCdb[[#This Row],[ROUND_D]]&gt;UIoptions!$S$15,PCdb[[#This Row],[ROUND_D]]&lt;UIoptions!$T$15),1,0),1)</f>
        <v>1</v>
      </c>
      <c r="BI97" s="38">
        <f>IF(UIoptions!$N$75&lt;&gt;1,1,IF(AND(PCdb[[#This Row],[FL]]&gt;UIoptions!$S$16,PCdb[[#This Row],[FL]]&lt;UIoptions!$T$16),1,0))</f>
        <v>0</v>
      </c>
      <c r="BJ97" s="38" t="e">
        <f>IF(OR(UIoptions!$Q$18=PCdb[[#This Row],[THRU_SCREW]],UIoptions!$Q$18="NA"),1,0)</f>
        <v>#N/A</v>
      </c>
      <c r="BK97" s="38">
        <f>IF(OR(UIoptions!$P$19=PCdb[[#This Row],[THREAD_SZ]],UIoptions!$P$19="NA"),1,0)</f>
        <v>1</v>
      </c>
      <c r="BL97" s="38">
        <f>IF(UIoptions!$N$75=1,1,IF(AND(PCdb[[#This Row],[THREAD_L]]&gt;UIoptions!$S$17,PCdb[[#This Row],[THREAD_L]]&lt;UIoptions!$T$17),1,0))</f>
        <v>1</v>
      </c>
      <c r="BM97" s="38" t="e">
        <f>IF(SUM(PCdb[[#This Row],[BDhit]:[THREAD_Lhit]])=11,1,0)</f>
        <v>#N/A</v>
      </c>
      <c r="BN9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3225.541022NA44NANAM483</v>
      </c>
      <c r="BO97" s="38" t="e">
        <f>SUM(PCdb[[#This Row],[BDhit]:[THREAD_Lhit]])</f>
        <v>#N/A</v>
      </c>
    </row>
    <row r="98" spans="1:67" x14ac:dyDescent="0.25">
      <c r="A98" s="7">
        <v>93</v>
      </c>
      <c r="B98" s="93">
        <v>66.7</v>
      </c>
      <c r="C98" s="93">
        <v>38.1</v>
      </c>
      <c r="D98" s="93">
        <v>4</v>
      </c>
      <c r="E98" s="93">
        <v>6.35</v>
      </c>
      <c r="F98" s="93">
        <v>20.6</v>
      </c>
      <c r="G98" s="93">
        <v>56.4</v>
      </c>
      <c r="H98" s="93" t="s">
        <v>87</v>
      </c>
      <c r="I98" s="93">
        <v>5.0999999999999996</v>
      </c>
      <c r="J98" s="93" t="s">
        <v>7</v>
      </c>
      <c r="K98" s="93" t="s">
        <v>87</v>
      </c>
      <c r="L98" s="93" t="s">
        <v>87</v>
      </c>
      <c r="M98" s="93">
        <v>4</v>
      </c>
      <c r="N98" s="38" t="s">
        <v>7</v>
      </c>
      <c r="O98" s="38"/>
      <c r="P98" s="38"/>
      <c r="Q98" s="38"/>
      <c r="R98" s="38"/>
      <c r="S98" s="38"/>
      <c r="T98" s="38"/>
      <c r="U98" s="38"/>
      <c r="V98" s="25">
        <v>45.2</v>
      </c>
      <c r="W98" s="38">
        <v>26</v>
      </c>
      <c r="X98" s="38" t="s">
        <v>87</v>
      </c>
      <c r="Y98" s="38" t="s">
        <v>130</v>
      </c>
      <c r="Z98" s="38" t="s">
        <v>172</v>
      </c>
      <c r="AA98" s="38">
        <v>45</v>
      </c>
      <c r="AB98" s="38">
        <v>90</v>
      </c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>
        <v>25</v>
      </c>
      <c r="AQ98" s="38">
        <v>0</v>
      </c>
      <c r="AR98" s="38" t="s">
        <v>263</v>
      </c>
      <c r="AS98" s="38" t="s">
        <v>176</v>
      </c>
      <c r="AT98" s="38">
        <v>45</v>
      </c>
      <c r="AU98" s="38">
        <v>90</v>
      </c>
      <c r="AV98" s="38"/>
      <c r="AW98" s="38"/>
      <c r="AX98" s="38"/>
      <c r="AY98" s="38"/>
      <c r="AZ98" s="38"/>
      <c r="BA98" s="38"/>
      <c r="BB98" s="38">
        <f>IF(AND(PCdb[[#This Row],[BCD]]&gt;UIoptions!$S$10,PCdb[[#This Row],[BCD]]&lt;UIoptions!$T$10),1,0)</f>
        <v>0</v>
      </c>
      <c r="BC98" s="38">
        <f>IF(AND(PCdb[[#This Row],[PD]]&gt;UIoptions!$S$11,PCdb[[#This Row],[PD]]&lt;UIoptions!$T$11),1,0)</f>
        <v>0</v>
      </c>
      <c r="BD98" s="38">
        <f>IF(AND(UIoptions!$P$14&lt;=PCdb[[#This Row],[PL (MAX)]],UIoptions!$P$14&gt;UIoptions!$S$14),1,0)</f>
        <v>1</v>
      </c>
      <c r="BE98" s="38">
        <f>IF(AND(PCdb[[#This Row],[SD]]&gt;UIoptions!$S$12,PCdb[[#This Row],[SD]]&lt;UIoptions!$T$12),1,0)</f>
        <v>0</v>
      </c>
      <c r="BF98" s="38">
        <f>IF(AND(PCdb[[#This Row],[SL]]&gt;UIoptions!$S$13,PCdb[[#This Row],[SL]]&lt;UIoptions!$T$13),1,0)</f>
        <v>0</v>
      </c>
      <c r="BG98" s="38">
        <f>IF(UIoptions!$N$35=1,IF(AND(PCdb[[#This Row],[SQ_SZ]]&gt;UIoptions!$S$15,PCdb[[#This Row],[SQ_SZ]]&lt;UIoptions!$T$15),1,0),1)</f>
        <v>0</v>
      </c>
      <c r="BH98" s="38">
        <f>IF(UIoptions!$N$35=2,IF(AND(PCdb[[#This Row],[ROUND_D]]&gt;UIoptions!$S$15,PCdb[[#This Row],[ROUND_D]]&lt;UIoptions!$T$15),1,0),1)</f>
        <v>1</v>
      </c>
      <c r="BI98" s="38">
        <f>IF(UIoptions!$N$75&lt;&gt;1,1,IF(AND(PCdb[[#This Row],[FL]]&gt;UIoptions!$S$16,PCdb[[#This Row],[FL]]&lt;UIoptions!$T$16),1,0))</f>
        <v>0</v>
      </c>
      <c r="BJ98" s="38" t="e">
        <f>IF(OR(UIoptions!$Q$18=PCdb[[#This Row],[THRU_SCREW]],UIoptions!$Q$18="NA"),1,0)</f>
        <v>#N/A</v>
      </c>
      <c r="BK98" s="38">
        <f>IF(OR(UIoptions!$P$19=PCdb[[#This Row],[THREAD_SZ]],UIoptions!$P$19="NA"),1,0)</f>
        <v>1</v>
      </c>
      <c r="BL98" s="38">
        <f>IF(UIoptions!$N$75=1,1,IF(AND(PCdb[[#This Row],[THREAD_L]]&gt;UIoptions!$S$17,PCdb[[#This Row],[THREAD_L]]&lt;UIoptions!$T$17),1,0))</f>
        <v>1</v>
      </c>
      <c r="BM98" s="38" t="e">
        <f>IF(SUM(PCdb[[#This Row],[BDhit]:[THREAD_Lhit]])=11,1,0)</f>
        <v>#N/A</v>
      </c>
      <c r="BN9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66.738.146.3520.656.4NA5.1M4NANA4</v>
      </c>
      <c r="BO98" s="38" t="e">
        <f>SUM(PCdb[[#This Row],[BDhit]:[THREAD_Lhit]])</f>
        <v>#N/A</v>
      </c>
    </row>
    <row r="99" spans="1:67" x14ac:dyDescent="0.25">
      <c r="A99" s="7">
        <v>94</v>
      </c>
      <c r="B99" s="93">
        <v>98.3</v>
      </c>
      <c r="C99" s="93">
        <v>73.03</v>
      </c>
      <c r="D99" s="93">
        <v>4</v>
      </c>
      <c r="E99" s="93">
        <v>14</v>
      </c>
      <c r="F99" s="93">
        <v>37</v>
      </c>
      <c r="G99" s="93">
        <v>85.9</v>
      </c>
      <c r="H99" s="93" t="s">
        <v>87</v>
      </c>
      <c r="I99" s="93">
        <v>8.5</v>
      </c>
      <c r="J99" s="93" t="s">
        <v>49</v>
      </c>
      <c r="K99" s="93" t="s">
        <v>87</v>
      </c>
      <c r="L99" s="93" t="s">
        <v>87</v>
      </c>
      <c r="M99" s="93">
        <v>4</v>
      </c>
      <c r="N99" s="38" t="s">
        <v>49</v>
      </c>
      <c r="O99" s="38" t="s">
        <v>87</v>
      </c>
      <c r="P99" s="38" t="s">
        <v>87</v>
      </c>
      <c r="Q99" s="38" t="s">
        <v>87</v>
      </c>
      <c r="R99" s="38" t="s">
        <v>87</v>
      </c>
      <c r="S99" s="38" t="s">
        <v>87</v>
      </c>
      <c r="T99" s="38" t="s">
        <v>87</v>
      </c>
      <c r="U99" s="38" t="s">
        <v>87</v>
      </c>
      <c r="V99" s="38">
        <v>45.2</v>
      </c>
      <c r="W99" s="38">
        <v>38</v>
      </c>
      <c r="X99" s="38">
        <v>0</v>
      </c>
      <c r="Y99" s="38" t="s">
        <v>130</v>
      </c>
      <c r="Z99" s="38" t="s">
        <v>172</v>
      </c>
      <c r="AA99" s="38">
        <v>45</v>
      </c>
      <c r="AB99" s="38">
        <v>90</v>
      </c>
      <c r="AC99" s="38"/>
      <c r="AD99" s="38"/>
      <c r="AE99" s="38"/>
      <c r="AF99" s="38"/>
      <c r="AG99" s="38"/>
      <c r="AH99" s="38"/>
      <c r="AI99" s="38"/>
      <c r="AJ99" s="38" t="s">
        <v>87</v>
      </c>
      <c r="AK99" s="38" t="s">
        <v>87</v>
      </c>
      <c r="AL99" s="38" t="s">
        <v>87</v>
      </c>
      <c r="AM99" s="38" t="s">
        <v>87</v>
      </c>
      <c r="AN99" s="38" t="s">
        <v>87</v>
      </c>
      <c r="AO99" s="38" t="s">
        <v>87</v>
      </c>
      <c r="AP99" s="38" t="s">
        <v>87</v>
      </c>
      <c r="AQ99" s="38" t="s">
        <v>87</v>
      </c>
      <c r="AR99" s="38" t="s">
        <v>87</v>
      </c>
      <c r="AS99" s="38" t="s">
        <v>87</v>
      </c>
      <c r="AT99" s="38" t="s">
        <v>87</v>
      </c>
      <c r="AU99" s="38" t="s">
        <v>87</v>
      </c>
      <c r="AV99" s="38"/>
      <c r="AW99" s="38"/>
      <c r="AX99" s="38"/>
      <c r="AY99" s="38"/>
      <c r="AZ99" s="38"/>
      <c r="BA99" s="38"/>
      <c r="BB99" s="38">
        <f>IF(AND(PCdb[[#This Row],[BCD]]&gt;UIoptions!$S$10,PCdb[[#This Row],[BCD]]&lt;UIoptions!$T$10),1,0)</f>
        <v>0</v>
      </c>
      <c r="BC99" s="38">
        <f>IF(AND(PCdb[[#This Row],[PD]]&gt;UIoptions!$S$11,PCdb[[#This Row],[PD]]&lt;UIoptions!$T$11),1,0)</f>
        <v>0</v>
      </c>
      <c r="BD99" s="38">
        <f>IF(AND(UIoptions!$P$14&lt;=PCdb[[#This Row],[PL (MAX)]],UIoptions!$P$14&gt;UIoptions!$S$14),1,0)</f>
        <v>1</v>
      </c>
      <c r="BE99" s="38">
        <f>IF(AND(PCdb[[#This Row],[SD]]&gt;UIoptions!$S$12,PCdb[[#This Row],[SD]]&lt;UIoptions!$T$12),1,0)</f>
        <v>0</v>
      </c>
      <c r="BF99" s="38">
        <f>IF(AND(PCdb[[#This Row],[SL]]&gt;UIoptions!$S$13,PCdb[[#This Row],[SL]]&lt;UIoptions!$T$13),1,0)</f>
        <v>0</v>
      </c>
      <c r="BG99" s="38">
        <f>IF(UIoptions!$N$35=1,IF(AND(PCdb[[#This Row],[SQ_SZ]]&gt;UIoptions!$S$15,PCdb[[#This Row],[SQ_SZ]]&lt;UIoptions!$T$15),1,0),1)</f>
        <v>0</v>
      </c>
      <c r="BH99" s="38">
        <f>IF(UIoptions!$N$35=2,IF(AND(PCdb[[#This Row],[ROUND_D]]&gt;UIoptions!$S$15,PCdb[[#This Row],[ROUND_D]]&lt;UIoptions!$T$15),1,0),1)</f>
        <v>1</v>
      </c>
      <c r="BI99" s="38">
        <f>IF(UIoptions!$N$75&lt;&gt;1,1,IF(AND(PCdb[[#This Row],[FL]]&gt;UIoptions!$S$16,PCdb[[#This Row],[FL]]&lt;UIoptions!$T$16),1,0))</f>
        <v>0</v>
      </c>
      <c r="BJ99" s="38" t="e">
        <f>IF(OR(UIoptions!$Q$18=PCdb[[#This Row],[THRU_SCREW]],UIoptions!$Q$18="NA"),1,0)</f>
        <v>#N/A</v>
      </c>
      <c r="BK99" s="38">
        <f>IF(OR(UIoptions!$P$19=PCdb[[#This Row],[THREAD_SZ]],UIoptions!$P$19="NA"),1,0)</f>
        <v>1</v>
      </c>
      <c r="BL99" s="38">
        <f>IF(UIoptions!$N$75=1,1,IF(AND(PCdb[[#This Row],[THREAD_L]]&gt;UIoptions!$S$17,PCdb[[#This Row],[THREAD_L]]&lt;UIoptions!$T$17),1,0))</f>
        <v>1</v>
      </c>
      <c r="BM99" s="38" t="e">
        <f>IF(SUM(PCdb[[#This Row],[BDhit]:[THREAD_Lhit]])=11,1,0)</f>
        <v>#N/A</v>
      </c>
      <c r="BN9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98.373.034143785.9NA8.5M6NANA4</v>
      </c>
      <c r="BO99" s="38" t="e">
        <f>SUM(PCdb[[#This Row],[BDhit]:[THREAD_Lhit]])</f>
        <v>#N/A</v>
      </c>
    </row>
    <row r="100" spans="1:67" x14ac:dyDescent="0.25">
      <c r="A100" s="7">
        <v>95</v>
      </c>
      <c r="B100" s="93">
        <v>66.7</v>
      </c>
      <c r="C100" s="93">
        <v>38.1</v>
      </c>
      <c r="D100" s="93">
        <v>4</v>
      </c>
      <c r="E100" s="93">
        <v>9.5299999999999994</v>
      </c>
      <c r="F100" s="93">
        <v>20.6</v>
      </c>
      <c r="G100" s="93">
        <v>59.1</v>
      </c>
      <c r="H100" s="93" t="s">
        <v>87</v>
      </c>
      <c r="I100" s="93">
        <v>4.8</v>
      </c>
      <c r="J100" s="93" t="s">
        <v>7</v>
      </c>
      <c r="K100" s="93" t="s">
        <v>87</v>
      </c>
      <c r="L100" s="93" t="s">
        <v>87</v>
      </c>
      <c r="M100" s="93">
        <v>4</v>
      </c>
      <c r="N100" s="38" t="s">
        <v>7</v>
      </c>
      <c r="O100" s="38">
        <v>38.700000000000003</v>
      </c>
      <c r="P100" s="38">
        <v>24</v>
      </c>
      <c r="Q100" s="38">
        <v>0</v>
      </c>
      <c r="R100" s="38" t="s">
        <v>130</v>
      </c>
      <c r="S100" s="38" t="s">
        <v>172</v>
      </c>
      <c r="T100" s="38">
        <v>45</v>
      </c>
      <c r="U100" s="38">
        <v>90</v>
      </c>
      <c r="V100" s="38">
        <v>45.2</v>
      </c>
      <c r="W100" s="38">
        <v>26</v>
      </c>
      <c r="X100" s="38">
        <v>0</v>
      </c>
      <c r="Y100" s="38" t="s">
        <v>130</v>
      </c>
      <c r="Z100" s="38" t="s">
        <v>172</v>
      </c>
      <c r="AA100" s="38">
        <v>45</v>
      </c>
      <c r="AB100" s="38">
        <v>90</v>
      </c>
      <c r="AC100" s="38"/>
      <c r="AD100" s="38"/>
      <c r="AE100" s="38"/>
      <c r="AF100" s="38"/>
      <c r="AG100" s="38"/>
      <c r="AH100" s="38"/>
      <c r="AI100" s="38"/>
      <c r="AJ100" s="38">
        <v>22</v>
      </c>
      <c r="AK100" s="38">
        <v>0</v>
      </c>
      <c r="AL100" s="38" t="s">
        <v>130</v>
      </c>
      <c r="AM100" s="38" t="s">
        <v>177</v>
      </c>
      <c r="AN100" s="38">
        <v>45</v>
      </c>
      <c r="AO100" s="38">
        <v>90</v>
      </c>
      <c r="AP100" s="38">
        <v>24</v>
      </c>
      <c r="AQ100" s="38">
        <v>0</v>
      </c>
      <c r="AR100" s="38" t="s">
        <v>130</v>
      </c>
      <c r="AS100" s="38" t="s">
        <v>176</v>
      </c>
      <c r="AT100" s="38">
        <v>45</v>
      </c>
      <c r="AU100" s="38">
        <v>90</v>
      </c>
      <c r="AV100" s="38">
        <v>25</v>
      </c>
      <c r="AW100" s="38" t="s">
        <v>87</v>
      </c>
      <c r="AX100" s="38" t="s">
        <v>130</v>
      </c>
      <c r="AY100" s="38" t="s">
        <v>176</v>
      </c>
      <c r="AZ100" s="38">
        <v>45</v>
      </c>
      <c r="BA100" s="38">
        <v>90</v>
      </c>
      <c r="BB100" s="38">
        <f>IF(AND(PCdb[[#This Row],[BCD]]&gt;UIoptions!$S$10,PCdb[[#This Row],[BCD]]&lt;UIoptions!$T$10),1,0)</f>
        <v>0</v>
      </c>
      <c r="BC100" s="38">
        <f>IF(AND(PCdb[[#This Row],[PD]]&gt;UIoptions!$S$11,PCdb[[#This Row],[PD]]&lt;UIoptions!$T$11),1,0)</f>
        <v>0</v>
      </c>
      <c r="BD100" s="38">
        <f>IF(AND(UIoptions!$P$14&lt;=PCdb[[#This Row],[PL (MAX)]],UIoptions!$P$14&gt;UIoptions!$S$14),1,0)</f>
        <v>1</v>
      </c>
      <c r="BE100" s="38">
        <f>IF(AND(PCdb[[#This Row],[SD]]&gt;UIoptions!$S$12,PCdb[[#This Row],[SD]]&lt;UIoptions!$T$12),1,0)</f>
        <v>0</v>
      </c>
      <c r="BF100" s="38">
        <f>IF(AND(PCdb[[#This Row],[SL]]&gt;UIoptions!$S$13,PCdb[[#This Row],[SL]]&lt;UIoptions!$T$13),1,0)</f>
        <v>0</v>
      </c>
      <c r="BG100" s="38">
        <f>IF(UIoptions!$N$35=1,IF(AND(PCdb[[#This Row],[SQ_SZ]]&gt;UIoptions!$S$15,PCdb[[#This Row],[SQ_SZ]]&lt;UIoptions!$T$15),1,0),1)</f>
        <v>0</v>
      </c>
      <c r="BH100" s="38">
        <f>IF(UIoptions!$N$35=2,IF(AND(PCdb[[#This Row],[ROUND_D]]&gt;UIoptions!$S$15,PCdb[[#This Row],[ROUND_D]]&lt;UIoptions!$T$15),1,0),1)</f>
        <v>1</v>
      </c>
      <c r="BI100" s="38">
        <f>IF(UIoptions!$N$75&lt;&gt;1,1,IF(AND(PCdb[[#This Row],[FL]]&gt;UIoptions!$S$16,PCdb[[#This Row],[FL]]&lt;UIoptions!$T$16),1,0))</f>
        <v>0</v>
      </c>
      <c r="BJ100" s="38" t="e">
        <f>IF(OR(UIoptions!$Q$18=PCdb[[#This Row],[THRU_SCREW]],UIoptions!$Q$18="NA"),1,0)</f>
        <v>#N/A</v>
      </c>
      <c r="BK100" s="38">
        <f>IF(OR(UIoptions!$P$19=PCdb[[#This Row],[THREAD_SZ]],UIoptions!$P$19="NA"),1,0)</f>
        <v>1</v>
      </c>
      <c r="BL100" s="38">
        <f>IF(UIoptions!$N$75=1,1,IF(AND(PCdb[[#This Row],[THREAD_L]]&gt;UIoptions!$S$17,PCdb[[#This Row],[THREAD_L]]&lt;UIoptions!$T$17),1,0))</f>
        <v>1</v>
      </c>
      <c r="BM100" s="38" t="e">
        <f>IF(SUM(PCdb[[#This Row],[BDhit]:[THREAD_Lhit]])=11,1,0)</f>
        <v>#N/A</v>
      </c>
      <c r="BN10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66.738.149.5320.659.1NA4.8M4NANA4</v>
      </c>
      <c r="BO100" s="38" t="e">
        <f>SUM(PCdb[[#This Row],[BDhit]:[THREAD_Lhit]])</f>
        <v>#N/A</v>
      </c>
    </row>
    <row r="101" spans="1:67" x14ac:dyDescent="0.25">
      <c r="A101" s="7">
        <v>96</v>
      </c>
      <c r="B101" s="93">
        <v>98.4</v>
      </c>
      <c r="C101" s="93">
        <v>73.03</v>
      </c>
      <c r="D101" s="93">
        <v>4</v>
      </c>
      <c r="E101" s="93">
        <v>12.7</v>
      </c>
      <c r="F101" s="93">
        <v>32.5</v>
      </c>
      <c r="G101" s="93">
        <v>86.9</v>
      </c>
      <c r="H101" s="93" t="s">
        <v>87</v>
      </c>
      <c r="I101" s="93">
        <v>6.4</v>
      </c>
      <c r="J101" s="93" t="s">
        <v>45</v>
      </c>
      <c r="K101" s="93" t="s">
        <v>87</v>
      </c>
      <c r="L101" s="93" t="s">
        <v>87</v>
      </c>
      <c r="M101" s="93">
        <v>4</v>
      </c>
      <c r="N101" s="38" t="s">
        <v>45</v>
      </c>
      <c r="O101" s="38" t="s">
        <v>87</v>
      </c>
      <c r="P101" s="38" t="s">
        <v>87</v>
      </c>
      <c r="Q101" s="38" t="s">
        <v>87</v>
      </c>
      <c r="R101" s="38" t="s">
        <v>87</v>
      </c>
      <c r="S101" s="38" t="s">
        <v>87</v>
      </c>
      <c r="T101" s="38" t="s">
        <v>87</v>
      </c>
      <c r="U101" s="38" t="s">
        <v>87</v>
      </c>
      <c r="V101" s="38">
        <v>41.7</v>
      </c>
      <c r="W101" s="38">
        <v>38</v>
      </c>
      <c r="X101" s="38">
        <v>0</v>
      </c>
      <c r="Y101" s="38" t="s">
        <v>130</v>
      </c>
      <c r="Z101" s="38" t="s">
        <v>172</v>
      </c>
      <c r="AA101" s="38">
        <v>45</v>
      </c>
      <c r="AB101" s="38">
        <v>90</v>
      </c>
      <c r="AC101" s="38">
        <v>45.2</v>
      </c>
      <c r="AD101" s="38">
        <v>38</v>
      </c>
      <c r="AE101" s="38">
        <v>0</v>
      </c>
      <c r="AF101" s="38" t="s">
        <v>130</v>
      </c>
      <c r="AG101" s="38" t="s">
        <v>172</v>
      </c>
      <c r="AH101" s="38">
        <v>45</v>
      </c>
      <c r="AI101" s="38">
        <v>90</v>
      </c>
      <c r="AJ101" s="38" t="s">
        <v>87</v>
      </c>
      <c r="AK101" s="38" t="s">
        <v>87</v>
      </c>
      <c r="AL101" s="38" t="s">
        <v>87</v>
      </c>
      <c r="AM101" s="38" t="s">
        <v>87</v>
      </c>
      <c r="AN101" s="38" t="s">
        <v>87</v>
      </c>
      <c r="AO101" s="38" t="s">
        <v>87</v>
      </c>
      <c r="AP101" s="38" t="s">
        <v>87</v>
      </c>
      <c r="AQ101" s="38" t="s">
        <v>87</v>
      </c>
      <c r="AR101" s="38" t="s">
        <v>87</v>
      </c>
      <c r="AS101" s="38" t="s">
        <v>87</v>
      </c>
      <c r="AT101" s="38" t="s">
        <v>87</v>
      </c>
      <c r="AU101" s="38" t="s">
        <v>87</v>
      </c>
      <c r="AV101" s="38"/>
      <c r="AW101" s="38"/>
      <c r="AX101" s="38"/>
      <c r="AY101" s="38"/>
      <c r="AZ101" s="38"/>
      <c r="BA101" s="38"/>
      <c r="BB101" s="38">
        <f>IF(AND(PCdb[[#This Row],[BCD]]&gt;UIoptions!$S$10,PCdb[[#This Row],[BCD]]&lt;UIoptions!$T$10),1,0)</f>
        <v>0</v>
      </c>
      <c r="BC101" s="38">
        <f>IF(AND(PCdb[[#This Row],[PD]]&gt;UIoptions!$S$11,PCdb[[#This Row],[PD]]&lt;UIoptions!$T$11),1,0)</f>
        <v>0</v>
      </c>
      <c r="BD101" s="38">
        <f>IF(AND(UIoptions!$P$14&lt;=PCdb[[#This Row],[PL (MAX)]],UIoptions!$P$14&gt;UIoptions!$S$14),1,0)</f>
        <v>1</v>
      </c>
      <c r="BE101" s="38">
        <f>IF(AND(PCdb[[#This Row],[SD]]&gt;UIoptions!$S$12,PCdb[[#This Row],[SD]]&lt;UIoptions!$T$12),1,0)</f>
        <v>0</v>
      </c>
      <c r="BF101" s="38">
        <f>IF(AND(PCdb[[#This Row],[SL]]&gt;UIoptions!$S$13,PCdb[[#This Row],[SL]]&lt;UIoptions!$T$13),1,0)</f>
        <v>0</v>
      </c>
      <c r="BG101" s="38">
        <f>IF(UIoptions!$N$35=1,IF(AND(PCdb[[#This Row],[SQ_SZ]]&gt;UIoptions!$S$15,PCdb[[#This Row],[SQ_SZ]]&lt;UIoptions!$T$15),1,0),1)</f>
        <v>0</v>
      </c>
      <c r="BH101" s="38">
        <f>IF(UIoptions!$N$35=2,IF(AND(PCdb[[#This Row],[ROUND_D]]&gt;UIoptions!$S$15,PCdb[[#This Row],[ROUND_D]]&lt;UIoptions!$T$15),1,0),1)</f>
        <v>1</v>
      </c>
      <c r="BI101" s="38">
        <f>IF(UIoptions!$N$75&lt;&gt;1,1,IF(AND(PCdb[[#This Row],[FL]]&gt;UIoptions!$S$16,PCdb[[#This Row],[FL]]&lt;UIoptions!$T$16),1,0))</f>
        <v>0</v>
      </c>
      <c r="BJ101" s="38" t="e">
        <f>IF(OR(UIoptions!$Q$18=PCdb[[#This Row],[THRU_SCREW]],UIoptions!$Q$18="NA"),1,0)</f>
        <v>#N/A</v>
      </c>
      <c r="BK101" s="38">
        <f>IF(OR(UIoptions!$P$19=PCdb[[#This Row],[THREAD_SZ]],UIoptions!$P$19="NA"),1,0)</f>
        <v>1</v>
      </c>
      <c r="BL101" s="38">
        <f>IF(UIoptions!$N$75=1,1,IF(AND(PCdb[[#This Row],[THREAD_L]]&gt;UIoptions!$S$17,PCdb[[#This Row],[THREAD_L]]&lt;UIoptions!$T$17),1,0))</f>
        <v>1</v>
      </c>
      <c r="BM101" s="38" t="e">
        <f>IF(SUM(PCdb[[#This Row],[BDhit]:[THREAD_Lhit]])=11,1,0)</f>
        <v>#N/A</v>
      </c>
      <c r="BN10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98.473.03412.732.586.9NA6.4M5NANA4</v>
      </c>
      <c r="BO101" s="38" t="e">
        <f>SUM(PCdb[[#This Row],[BDhit]:[THREAD_Lhit]])</f>
        <v>#N/A</v>
      </c>
    </row>
    <row r="102" spans="1:67" x14ac:dyDescent="0.25">
      <c r="A102" s="7">
        <v>97</v>
      </c>
      <c r="B102" s="93">
        <v>70</v>
      </c>
      <c r="C102" s="93">
        <v>40</v>
      </c>
      <c r="D102" s="93">
        <v>4</v>
      </c>
      <c r="E102" s="93">
        <v>11</v>
      </c>
      <c r="F102" s="93">
        <v>23</v>
      </c>
      <c r="G102" s="93">
        <v>55</v>
      </c>
      <c r="H102" s="93" t="s">
        <v>87</v>
      </c>
      <c r="I102" s="93">
        <v>7</v>
      </c>
      <c r="J102" s="93" t="s">
        <v>45</v>
      </c>
      <c r="K102" s="93" t="s">
        <v>87</v>
      </c>
      <c r="L102" s="93" t="s">
        <v>87</v>
      </c>
      <c r="M102" s="93">
        <v>4</v>
      </c>
      <c r="N102" s="38" t="s">
        <v>45</v>
      </c>
      <c r="O102" s="38">
        <v>36.200000000000003</v>
      </c>
      <c r="P102" s="38">
        <v>23</v>
      </c>
      <c r="Q102" s="38">
        <v>0</v>
      </c>
      <c r="R102" s="38" t="s">
        <v>130</v>
      </c>
      <c r="S102" s="38" t="s">
        <v>172</v>
      </c>
      <c r="T102" s="38">
        <v>45</v>
      </c>
      <c r="U102" s="38">
        <v>90</v>
      </c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 t="s">
        <v>87</v>
      </c>
      <c r="AK102" s="38" t="s">
        <v>87</v>
      </c>
      <c r="AL102" s="38" t="s">
        <v>87</v>
      </c>
      <c r="AM102" s="38" t="s">
        <v>87</v>
      </c>
      <c r="AN102" s="38" t="s">
        <v>87</v>
      </c>
      <c r="AO102" s="38" t="s">
        <v>87</v>
      </c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>
        <f>IF(AND(PCdb[[#This Row],[BCD]]&gt;UIoptions!$S$10,PCdb[[#This Row],[BCD]]&lt;UIoptions!$T$10),1,0)</f>
        <v>0</v>
      </c>
      <c r="BC102" s="38">
        <f>IF(AND(PCdb[[#This Row],[PD]]&gt;UIoptions!$S$11,PCdb[[#This Row],[PD]]&lt;UIoptions!$T$11),1,0)</f>
        <v>0</v>
      </c>
      <c r="BD102" s="38">
        <f>IF(AND(UIoptions!$P$14&lt;=PCdb[[#This Row],[PL (MAX)]],UIoptions!$P$14&gt;UIoptions!$S$14),1,0)</f>
        <v>1</v>
      </c>
      <c r="BE102" s="38">
        <f>IF(AND(PCdb[[#This Row],[SD]]&gt;UIoptions!$S$12,PCdb[[#This Row],[SD]]&lt;UIoptions!$T$12),1,0)</f>
        <v>1</v>
      </c>
      <c r="BF102" s="38">
        <f>IF(AND(PCdb[[#This Row],[SL]]&gt;UIoptions!$S$13,PCdb[[#This Row],[SL]]&lt;UIoptions!$T$13),1,0)</f>
        <v>1</v>
      </c>
      <c r="BG102" s="38">
        <f>IF(UIoptions!$N$35=1,IF(AND(PCdb[[#This Row],[SQ_SZ]]&gt;UIoptions!$S$15,PCdb[[#This Row],[SQ_SZ]]&lt;UIoptions!$T$15),1,0),1)</f>
        <v>0</v>
      </c>
      <c r="BH102" s="38">
        <f>IF(UIoptions!$N$35=2,IF(AND(PCdb[[#This Row],[ROUND_D]]&gt;UIoptions!$S$15,PCdb[[#This Row],[ROUND_D]]&lt;UIoptions!$T$15),1,0),1)</f>
        <v>1</v>
      </c>
      <c r="BI102" s="38">
        <f>IF(UIoptions!$N$75&lt;&gt;1,1,IF(AND(PCdb[[#This Row],[FL]]&gt;UIoptions!$S$16,PCdb[[#This Row],[FL]]&lt;UIoptions!$T$16),1,0))</f>
        <v>0</v>
      </c>
      <c r="BJ102" s="38" t="e">
        <f>IF(OR(UIoptions!$Q$18=PCdb[[#This Row],[THRU_SCREW]],UIoptions!$Q$18="NA"),1,0)</f>
        <v>#N/A</v>
      </c>
      <c r="BK102" s="38">
        <f>IF(OR(UIoptions!$P$19=PCdb[[#This Row],[THREAD_SZ]],UIoptions!$P$19="NA"),1,0)</f>
        <v>1</v>
      </c>
      <c r="BL102" s="38">
        <f>IF(UIoptions!$N$75=1,1,IF(AND(PCdb[[#This Row],[THREAD_L]]&gt;UIoptions!$S$17,PCdb[[#This Row],[THREAD_L]]&lt;UIoptions!$T$17),1,0))</f>
        <v>1</v>
      </c>
      <c r="BM102" s="38" t="e">
        <f>IF(SUM(PCdb[[#This Row],[BDhit]:[THREAD_Lhit]])=11,1,0)</f>
        <v>#N/A</v>
      </c>
      <c r="BN10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70404112355NA7M5NANA4</v>
      </c>
      <c r="BO102" s="38" t="e">
        <f>SUM(PCdb[[#This Row],[BDhit]:[THREAD_Lhit]])</f>
        <v>#N/A</v>
      </c>
    </row>
    <row r="103" spans="1:67" x14ac:dyDescent="0.25">
      <c r="A103" s="7">
        <v>98</v>
      </c>
      <c r="B103" s="93">
        <v>50.8</v>
      </c>
      <c r="C103" s="93">
        <v>21</v>
      </c>
      <c r="D103" s="93">
        <v>4</v>
      </c>
      <c r="E103" s="93">
        <v>10</v>
      </c>
      <c r="F103" s="93">
        <v>33</v>
      </c>
      <c r="G103" s="93" t="s">
        <v>87</v>
      </c>
      <c r="H103" s="93" t="s">
        <v>87</v>
      </c>
      <c r="I103" s="93" t="s">
        <v>87</v>
      </c>
      <c r="J103" s="93" t="s">
        <v>87</v>
      </c>
      <c r="K103" s="93" t="s">
        <v>49</v>
      </c>
      <c r="L103" s="93">
        <v>14</v>
      </c>
      <c r="M103" s="93">
        <v>3</v>
      </c>
      <c r="N103" s="38" t="s">
        <v>49</v>
      </c>
      <c r="O103" s="38"/>
      <c r="P103" s="38"/>
      <c r="Q103" s="38"/>
      <c r="R103" s="38"/>
      <c r="S103" s="38"/>
      <c r="T103" s="38"/>
      <c r="U103" s="38"/>
      <c r="V103" s="38">
        <v>41.7</v>
      </c>
      <c r="W103" s="38" t="s">
        <v>87</v>
      </c>
      <c r="X103" s="38" t="s">
        <v>87</v>
      </c>
      <c r="Y103" s="38" t="s">
        <v>180</v>
      </c>
      <c r="Z103" s="38" t="s">
        <v>279</v>
      </c>
      <c r="AA103" s="38">
        <v>45</v>
      </c>
      <c r="AB103" s="38">
        <v>120</v>
      </c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>
        <f>IF(AND(PCdb[[#This Row],[BCD]]&gt;UIoptions!$S$10,PCdb[[#This Row],[BCD]]&lt;UIoptions!$T$10),1,0)</f>
        <v>0</v>
      </c>
      <c r="BC103" s="38">
        <f>IF(AND(PCdb[[#This Row],[PD]]&gt;UIoptions!$S$11,PCdb[[#This Row],[PD]]&lt;UIoptions!$T$11),1,0)</f>
        <v>0</v>
      </c>
      <c r="BD103" s="38">
        <f>IF(AND(UIoptions!$P$14&lt;=PCdb[[#This Row],[PL (MAX)]],UIoptions!$P$14&gt;UIoptions!$S$14),1,0)</f>
        <v>1</v>
      </c>
      <c r="BE103" s="38">
        <f>IF(AND(PCdb[[#This Row],[SD]]&gt;UIoptions!$S$12,PCdb[[#This Row],[SD]]&lt;UIoptions!$T$12),1,0)</f>
        <v>0</v>
      </c>
      <c r="BF103" s="38">
        <f>IF(AND(PCdb[[#This Row],[SL]]&gt;UIoptions!$S$13,PCdb[[#This Row],[SL]]&lt;UIoptions!$T$13),1,0)</f>
        <v>0</v>
      </c>
      <c r="BG103" s="38">
        <f>IF(UIoptions!$N$35=1,IF(AND(PCdb[[#This Row],[SQ_SZ]]&gt;UIoptions!$S$15,PCdb[[#This Row],[SQ_SZ]]&lt;UIoptions!$T$15),1,0),1)</f>
        <v>0</v>
      </c>
      <c r="BH103" s="38">
        <f>IF(UIoptions!$N$35=2,IF(AND(PCdb[[#This Row],[ROUND_D]]&gt;UIoptions!$S$15,PCdb[[#This Row],[ROUND_D]]&lt;UIoptions!$T$15),1,0),1)</f>
        <v>1</v>
      </c>
      <c r="BI103" s="38">
        <f>IF(UIoptions!$N$75&lt;&gt;1,1,IF(AND(PCdb[[#This Row],[FL]]&gt;UIoptions!$S$16,PCdb[[#This Row],[FL]]&lt;UIoptions!$T$16),1,0))</f>
        <v>0</v>
      </c>
      <c r="BJ103" s="38" t="e">
        <f>IF(OR(UIoptions!$Q$18=PCdb[[#This Row],[THRU_SCREW]],UIoptions!$Q$18="NA"),1,0)</f>
        <v>#N/A</v>
      </c>
      <c r="BK103" s="38">
        <f>IF(OR(UIoptions!$P$19=PCdb[[#This Row],[THREAD_SZ]],UIoptions!$P$19="NA"),1,0)</f>
        <v>1</v>
      </c>
      <c r="BL103" s="38">
        <f>IF(UIoptions!$N$75=1,1,IF(AND(PCdb[[#This Row],[THREAD_L]]&gt;UIoptions!$S$17,PCdb[[#This Row],[THREAD_L]]&lt;UIoptions!$T$17),1,0))</f>
        <v>1</v>
      </c>
      <c r="BM103" s="38" t="e">
        <f>IF(SUM(PCdb[[#This Row],[BDhit]:[THREAD_Lhit]])=11,1,0)</f>
        <v>#N/A</v>
      </c>
      <c r="BN10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50.82141033NANANANAM6143</v>
      </c>
      <c r="BO103" s="38" t="e">
        <f>SUM(PCdb[[#This Row],[BDhit]:[THREAD_Lhit]])</f>
        <v>#N/A</v>
      </c>
    </row>
    <row r="104" spans="1:67" x14ac:dyDescent="0.25">
      <c r="A104" s="7">
        <v>99</v>
      </c>
      <c r="B104" s="93">
        <v>75</v>
      </c>
      <c r="C104" s="93">
        <v>60</v>
      </c>
      <c r="D104" s="93">
        <v>4</v>
      </c>
      <c r="E104" s="93">
        <v>14</v>
      </c>
      <c r="F104" s="93">
        <v>30</v>
      </c>
      <c r="G104" s="93">
        <v>70</v>
      </c>
      <c r="H104" s="93" t="s">
        <v>87</v>
      </c>
      <c r="I104" s="93">
        <v>7.5</v>
      </c>
      <c r="J104" s="93">
        <v>5.8</v>
      </c>
      <c r="K104" s="93" t="s">
        <v>87</v>
      </c>
      <c r="L104" s="93" t="s">
        <v>87</v>
      </c>
      <c r="M104" s="93">
        <v>4</v>
      </c>
      <c r="N104" s="38" t="s">
        <v>45</v>
      </c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>
        <v>32.5</v>
      </c>
      <c r="AW104" s="38">
        <v>0</v>
      </c>
      <c r="AX104" s="38" t="s">
        <v>130</v>
      </c>
      <c r="AY104" s="38" t="s">
        <v>176</v>
      </c>
      <c r="AZ104" s="38">
        <v>45</v>
      </c>
      <c r="BA104" s="38">
        <v>90</v>
      </c>
      <c r="BB104" s="38">
        <f>IF(AND(PCdb[[#This Row],[BCD]]&gt;UIoptions!$S$10,PCdb[[#This Row],[BCD]]&lt;UIoptions!$T$10),1,0)</f>
        <v>1</v>
      </c>
      <c r="BC104" s="38">
        <f>IF(AND(PCdb[[#This Row],[PD]]&gt;UIoptions!$S$11,PCdb[[#This Row],[PD]]&lt;UIoptions!$T$11),1,0)</f>
        <v>1</v>
      </c>
      <c r="BD104" s="38">
        <f>IF(AND(UIoptions!$P$14&lt;=PCdb[[#This Row],[PL (MAX)]],UIoptions!$P$14&gt;UIoptions!$S$14),1,0)</f>
        <v>1</v>
      </c>
      <c r="BE104" s="38">
        <f>IF(AND(PCdb[[#This Row],[SD]]&gt;UIoptions!$S$12,PCdb[[#This Row],[SD]]&lt;UIoptions!$T$12),1,0)</f>
        <v>0</v>
      </c>
      <c r="BF104" s="38">
        <f>IF(AND(PCdb[[#This Row],[SL]]&gt;UIoptions!$S$13,PCdb[[#This Row],[SL]]&lt;UIoptions!$T$13),1,0)</f>
        <v>0</v>
      </c>
      <c r="BG104" s="38">
        <f>IF(UIoptions!$N$35=1,IF(AND(PCdb[[#This Row],[SQ_SZ]]&gt;UIoptions!$S$15,PCdb[[#This Row],[SQ_SZ]]&lt;UIoptions!$T$15),1,0),1)</f>
        <v>1</v>
      </c>
      <c r="BH104" s="38">
        <f>IF(UIoptions!$N$35=2,IF(AND(PCdb[[#This Row],[ROUND_D]]&gt;UIoptions!$S$15,PCdb[[#This Row],[ROUND_D]]&lt;UIoptions!$T$15),1,0),1)</f>
        <v>1</v>
      </c>
      <c r="BI104" s="38">
        <f>IF(UIoptions!$N$75&lt;&gt;1,1,IF(AND(PCdb[[#This Row],[FL]]&gt;UIoptions!$S$16,PCdb[[#This Row],[FL]]&lt;UIoptions!$T$16),1,0))</f>
        <v>0</v>
      </c>
      <c r="BJ104" s="38" t="e">
        <f>IF(OR(UIoptions!$Q$18=PCdb[[#This Row],[THRU_SCREW]],UIoptions!$Q$18="NA"),1,0)</f>
        <v>#N/A</v>
      </c>
      <c r="BK104" s="38">
        <f>IF(OR(UIoptions!$P$19=PCdb[[#This Row],[THREAD_SZ]],UIoptions!$P$19="NA"),1,0)</f>
        <v>1</v>
      </c>
      <c r="BL104" s="38">
        <f>IF(UIoptions!$N$75=1,1,IF(AND(PCdb[[#This Row],[THREAD_L]]&gt;UIoptions!$S$17,PCdb[[#This Row],[THREAD_L]]&lt;UIoptions!$T$17),1,0))</f>
        <v>1</v>
      </c>
      <c r="BM104" s="38" t="e">
        <f>IF(SUM(PCdb[[#This Row],[BDhit]:[THREAD_Lhit]])=11,1,0)</f>
        <v>#N/A</v>
      </c>
      <c r="BN10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75604143070NA7.55.8NANA4</v>
      </c>
      <c r="BO104" s="38" t="e">
        <f>SUM(PCdb[[#This Row],[BDhit]:[THREAD_Lhit]])</f>
        <v>#N/A</v>
      </c>
    </row>
    <row r="105" spans="1:67" x14ac:dyDescent="0.25">
      <c r="A105" s="7">
        <v>100</v>
      </c>
      <c r="B105" s="93">
        <v>46</v>
      </c>
      <c r="C105" s="93">
        <v>30</v>
      </c>
      <c r="D105" s="93">
        <v>4</v>
      </c>
      <c r="E105" s="93">
        <v>8</v>
      </c>
      <c r="F105" s="93">
        <v>25</v>
      </c>
      <c r="G105" s="93">
        <v>40</v>
      </c>
      <c r="H105" s="93" t="s">
        <v>87</v>
      </c>
      <c r="I105" s="93">
        <v>10</v>
      </c>
      <c r="J105" s="93">
        <v>4.5</v>
      </c>
      <c r="K105" s="93" t="s">
        <v>87</v>
      </c>
      <c r="L105" s="93" t="s">
        <v>87</v>
      </c>
      <c r="M105" s="93">
        <v>4</v>
      </c>
      <c r="N105" s="38" t="s">
        <v>7</v>
      </c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>
        <v>17.5</v>
      </c>
      <c r="AK105" s="38">
        <v>0</v>
      </c>
      <c r="AL105" s="38" t="s">
        <v>130</v>
      </c>
      <c r="AM105" s="38" t="s">
        <v>176</v>
      </c>
      <c r="AN105" s="38">
        <v>45</v>
      </c>
      <c r="AO105" s="38">
        <v>90</v>
      </c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>
        <f>IF(AND(PCdb[[#This Row],[BCD]]&gt;UIoptions!$S$10,PCdb[[#This Row],[BCD]]&lt;UIoptions!$T$10),1,0)</f>
        <v>0</v>
      </c>
      <c r="BC105" s="38">
        <f>IF(AND(PCdb[[#This Row],[PD]]&gt;UIoptions!$S$11,PCdb[[#This Row],[PD]]&lt;UIoptions!$T$11),1,0)</f>
        <v>0</v>
      </c>
      <c r="BD105" s="38">
        <f>IF(AND(UIoptions!$P$14&lt;=PCdb[[#This Row],[PL (MAX)]],UIoptions!$P$14&gt;UIoptions!$S$14),1,0)</f>
        <v>1</v>
      </c>
      <c r="BE105" s="38">
        <f>IF(AND(PCdb[[#This Row],[SD]]&gt;UIoptions!$S$12,PCdb[[#This Row],[SD]]&lt;UIoptions!$T$12),1,0)</f>
        <v>0</v>
      </c>
      <c r="BF105" s="38">
        <f>IF(AND(PCdb[[#This Row],[SL]]&gt;UIoptions!$S$13,PCdb[[#This Row],[SL]]&lt;UIoptions!$T$13),1,0)</f>
        <v>0</v>
      </c>
      <c r="BG105" s="38">
        <f>IF(UIoptions!$N$35=1,IF(AND(PCdb[[#This Row],[SQ_SZ]]&gt;UIoptions!$S$15,PCdb[[#This Row],[SQ_SZ]]&lt;UIoptions!$T$15),1,0),1)</f>
        <v>0</v>
      </c>
      <c r="BH105" s="38">
        <f>IF(UIoptions!$N$35=2,IF(AND(PCdb[[#This Row],[ROUND_D]]&gt;UIoptions!$S$15,PCdb[[#This Row],[ROUND_D]]&lt;UIoptions!$T$15),1,0),1)</f>
        <v>1</v>
      </c>
      <c r="BI105" s="38">
        <f>IF(UIoptions!$N$75&lt;&gt;1,1,IF(AND(PCdb[[#This Row],[FL]]&gt;UIoptions!$S$16,PCdb[[#This Row],[FL]]&lt;UIoptions!$T$16),1,0))</f>
        <v>0</v>
      </c>
      <c r="BJ105" s="38" t="e">
        <f>IF(OR(UIoptions!$Q$18=PCdb[[#This Row],[THRU_SCREW]],UIoptions!$Q$18="NA"),1,0)</f>
        <v>#N/A</v>
      </c>
      <c r="BK105" s="38">
        <f>IF(OR(UIoptions!$P$19=PCdb[[#This Row],[THREAD_SZ]],UIoptions!$P$19="NA"),1,0)</f>
        <v>1</v>
      </c>
      <c r="BL105" s="38">
        <f>IF(UIoptions!$N$75=1,1,IF(AND(PCdb[[#This Row],[THREAD_L]]&gt;UIoptions!$S$17,PCdb[[#This Row],[THREAD_L]]&lt;UIoptions!$T$17),1,0))</f>
        <v>1</v>
      </c>
      <c r="BM105" s="38" t="e">
        <f>IF(SUM(PCdb[[#This Row],[BDhit]:[THREAD_Lhit]])=11,1,0)</f>
        <v>#N/A</v>
      </c>
      <c r="BN10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4630482540NA104.5NANA4</v>
      </c>
      <c r="BO105" s="38" t="e">
        <f>SUM(PCdb[[#This Row],[BDhit]:[THREAD_Lhit]])</f>
        <v>#N/A</v>
      </c>
    </row>
    <row r="106" spans="1:67" x14ac:dyDescent="0.25">
      <c r="A106" s="7">
        <v>101</v>
      </c>
      <c r="B106" s="93">
        <v>75</v>
      </c>
      <c r="C106" s="93">
        <v>60</v>
      </c>
      <c r="D106" s="93">
        <v>4</v>
      </c>
      <c r="E106" s="93">
        <v>11</v>
      </c>
      <c r="F106" s="93">
        <v>23</v>
      </c>
      <c r="G106" s="93" t="s">
        <v>87</v>
      </c>
      <c r="H106" s="93">
        <v>130</v>
      </c>
      <c r="I106" s="93" t="s">
        <v>87</v>
      </c>
      <c r="J106" s="93" t="s">
        <v>87</v>
      </c>
      <c r="K106" s="93" t="s">
        <v>45</v>
      </c>
      <c r="L106" s="93">
        <v>9</v>
      </c>
      <c r="M106" s="93">
        <v>4</v>
      </c>
      <c r="N106" s="38">
        <v>6</v>
      </c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168" t="s">
        <v>87</v>
      </c>
      <c r="AW106" s="168" t="s">
        <v>87</v>
      </c>
      <c r="AX106" s="168" t="s">
        <v>87</v>
      </c>
      <c r="AY106" s="168" t="s">
        <v>87</v>
      </c>
      <c r="AZ106" s="168" t="s">
        <v>87</v>
      </c>
      <c r="BA106" s="168" t="s">
        <v>87</v>
      </c>
      <c r="BB106" s="38">
        <f>IF(AND(PCdb[[#This Row],[BCD]]&gt;UIoptions!$S$10,PCdb[[#This Row],[BCD]]&lt;UIoptions!$T$10),1,0)</f>
        <v>1</v>
      </c>
      <c r="BC106" s="38">
        <f>IF(AND(PCdb[[#This Row],[PD]]&gt;UIoptions!$S$11,PCdb[[#This Row],[PD]]&lt;UIoptions!$T$11),1,0)</f>
        <v>1</v>
      </c>
      <c r="BD106" s="38">
        <f>IF(AND(UIoptions!$P$14&lt;=PCdb[[#This Row],[PL (MAX)]],UIoptions!$P$14&gt;UIoptions!$S$14),1,0)</f>
        <v>1</v>
      </c>
      <c r="BE106" s="38">
        <f>IF(AND(PCdb[[#This Row],[SD]]&gt;UIoptions!$S$12,PCdb[[#This Row],[SD]]&lt;UIoptions!$T$12),1,0)</f>
        <v>1</v>
      </c>
      <c r="BF106" s="38">
        <f>IF(AND(PCdb[[#This Row],[SL]]&gt;UIoptions!$S$13,PCdb[[#This Row],[SL]]&lt;UIoptions!$T$13),1,0)</f>
        <v>1</v>
      </c>
      <c r="BG106" s="38">
        <f>IF(UIoptions!$N$35=1,IF(AND(PCdb[[#This Row],[SQ_SZ]]&gt;UIoptions!$S$15,PCdb[[#This Row],[SQ_SZ]]&lt;UIoptions!$T$15),1,0),1)</f>
        <v>0</v>
      </c>
      <c r="BH106" s="38">
        <f>IF(UIoptions!$N$35=2,IF(AND(PCdb[[#This Row],[ROUND_D]]&gt;UIoptions!$S$15,PCdb[[#This Row],[ROUND_D]]&lt;UIoptions!$T$15),1,0),1)</f>
        <v>1</v>
      </c>
      <c r="BI106" s="38">
        <f>IF(UIoptions!$N$75&lt;&gt;1,1,IF(AND(PCdb[[#This Row],[FL]]&gt;UIoptions!$S$16,PCdb[[#This Row],[FL]]&lt;UIoptions!$T$16),1,0))</f>
        <v>0</v>
      </c>
      <c r="BJ106" s="38" t="e">
        <f>IF(OR(UIoptions!$Q$18=PCdb[[#This Row],[THRU_SCREW]],UIoptions!$Q$18="NA"),1,0)</f>
        <v>#N/A</v>
      </c>
      <c r="BK106" s="38">
        <f>IF(OR(UIoptions!$P$19=PCdb[[#This Row],[THREAD_SZ]],UIoptions!$P$19="NA"),1,0)</f>
        <v>1</v>
      </c>
      <c r="BL106" s="38">
        <f>IF(UIoptions!$N$75=1,1,IF(AND(PCdb[[#This Row],[THREAD_L]]&gt;UIoptions!$S$17,PCdb[[#This Row],[THREAD_L]]&lt;UIoptions!$T$17),1,0))</f>
        <v>1</v>
      </c>
      <c r="BM106" s="38" t="e">
        <f>IF(SUM(PCdb[[#This Row],[BDhit]:[THREAD_Lhit]])=11,1,0)</f>
        <v>#N/A</v>
      </c>
      <c r="BN10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756041123NA130NANAM594</v>
      </c>
      <c r="BO106" s="38" t="e">
        <f>SUM(PCdb[[#This Row],[BDhit]:[THREAD_Lhit]])</f>
        <v>#N/A</v>
      </c>
    </row>
    <row r="107" spans="1:67" x14ac:dyDescent="0.25">
      <c r="A107" s="7">
        <v>102</v>
      </c>
      <c r="B107" s="93">
        <v>66.7</v>
      </c>
      <c r="C107" s="93">
        <v>38.1</v>
      </c>
      <c r="D107" s="93">
        <v>4</v>
      </c>
      <c r="E107" s="93">
        <v>6.35</v>
      </c>
      <c r="F107" s="93">
        <v>15</v>
      </c>
      <c r="G107" s="93">
        <v>56.4</v>
      </c>
      <c r="H107" s="93" t="s">
        <v>87</v>
      </c>
      <c r="I107" s="93">
        <v>8</v>
      </c>
      <c r="J107" s="93" t="s">
        <v>7</v>
      </c>
      <c r="K107" s="93" t="s">
        <v>87</v>
      </c>
      <c r="L107" s="93" t="s">
        <v>87</v>
      </c>
      <c r="M107" s="93">
        <v>4</v>
      </c>
      <c r="N107" s="38" t="s">
        <v>87</v>
      </c>
      <c r="O107" s="38" t="s">
        <v>87</v>
      </c>
      <c r="P107" s="38" t="s">
        <v>87</v>
      </c>
      <c r="Q107" s="38" t="s">
        <v>87</v>
      </c>
      <c r="R107" s="38" t="s">
        <v>87</v>
      </c>
      <c r="S107" s="38" t="s">
        <v>87</v>
      </c>
      <c r="T107" s="38" t="s">
        <v>87</v>
      </c>
      <c r="U107" s="38" t="s">
        <v>87</v>
      </c>
      <c r="V107" s="38" t="s">
        <v>87</v>
      </c>
      <c r="W107" s="38" t="s">
        <v>87</v>
      </c>
      <c r="X107" s="38" t="s">
        <v>87</v>
      </c>
      <c r="Y107" s="38" t="s">
        <v>87</v>
      </c>
      <c r="Z107" s="38" t="s">
        <v>87</v>
      </c>
      <c r="AA107" s="38" t="s">
        <v>87</v>
      </c>
      <c r="AB107" s="38" t="s">
        <v>87</v>
      </c>
      <c r="AC107" s="38" t="s">
        <v>87</v>
      </c>
      <c r="AD107" s="38" t="s">
        <v>87</v>
      </c>
      <c r="AE107" s="38" t="s">
        <v>87</v>
      </c>
      <c r="AF107" s="38" t="s">
        <v>87</v>
      </c>
      <c r="AG107" s="38" t="s">
        <v>87</v>
      </c>
      <c r="AH107" s="38" t="s">
        <v>87</v>
      </c>
      <c r="AI107" s="38" t="s">
        <v>87</v>
      </c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>
        <f>IF(AND(PCdb[[#This Row],[BCD]]&gt;UIoptions!$S$10,PCdb[[#This Row],[BCD]]&lt;UIoptions!$T$10),1,0)</f>
        <v>0</v>
      </c>
      <c r="BC107" s="38">
        <f>IF(AND(PCdb[[#This Row],[PD]]&gt;UIoptions!$S$11,PCdb[[#This Row],[PD]]&lt;UIoptions!$T$11),1,0)</f>
        <v>0</v>
      </c>
      <c r="BD107" s="38">
        <f>IF(AND(UIoptions!$P$14&lt;=PCdb[[#This Row],[PL (MAX)]],UIoptions!$P$14&gt;UIoptions!$S$14),1,0)</f>
        <v>1</v>
      </c>
      <c r="BE107" s="38">
        <f>IF(AND(PCdb[[#This Row],[SD]]&gt;UIoptions!$S$12,PCdb[[#This Row],[SD]]&lt;UIoptions!$T$12),1,0)</f>
        <v>0</v>
      </c>
      <c r="BF107" s="38">
        <f>IF(AND(PCdb[[#This Row],[SL]]&gt;UIoptions!$S$13,PCdb[[#This Row],[SL]]&lt;UIoptions!$T$13),1,0)</f>
        <v>0</v>
      </c>
      <c r="BG107" s="38">
        <f>IF(UIoptions!$N$35=1,IF(AND(PCdb[[#This Row],[SQ_SZ]]&gt;UIoptions!$S$15,PCdb[[#This Row],[SQ_SZ]]&lt;UIoptions!$T$15),1,0),1)</f>
        <v>0</v>
      </c>
      <c r="BH107" s="38">
        <f>IF(UIoptions!$N$35=2,IF(AND(PCdb[[#This Row],[ROUND_D]]&gt;UIoptions!$S$15,PCdb[[#This Row],[ROUND_D]]&lt;UIoptions!$T$15),1,0),1)</f>
        <v>1</v>
      </c>
      <c r="BI107" s="38">
        <f>IF(UIoptions!$N$75&lt;&gt;1,1,IF(AND(PCdb[[#This Row],[FL]]&gt;UIoptions!$S$16,PCdb[[#This Row],[FL]]&lt;UIoptions!$T$16),1,0))</f>
        <v>0</v>
      </c>
      <c r="BJ107" s="38" t="e">
        <f>IF(OR(UIoptions!$Q$18=PCdb[[#This Row],[THRU_SCREW]],UIoptions!$Q$18="NA"),1,0)</f>
        <v>#N/A</v>
      </c>
      <c r="BK107" s="38">
        <f>IF(OR(UIoptions!$P$19=PCdb[[#This Row],[THREAD_SZ]],UIoptions!$P$19="NA"),1,0)</f>
        <v>1</v>
      </c>
      <c r="BL107" s="38">
        <f>IF(UIoptions!$N$75=1,1,IF(AND(PCdb[[#This Row],[THREAD_L]]&gt;UIoptions!$S$17,PCdb[[#This Row],[THREAD_L]]&lt;UIoptions!$T$17),1,0))</f>
        <v>1</v>
      </c>
      <c r="BM107" s="38" t="e">
        <f>IF(SUM(PCdb[[#This Row],[BDhit]:[THREAD_Lhit]])=11,1,0)</f>
        <v>#N/A</v>
      </c>
      <c r="BN10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66.738.146.351556.4NA8M4NANA4</v>
      </c>
      <c r="BO107" s="38" t="e">
        <f>SUM(PCdb[[#This Row],[BDhit]:[THREAD_Lhit]])</f>
        <v>#N/A</v>
      </c>
    </row>
    <row r="108" spans="1:67" x14ac:dyDescent="0.25">
      <c r="A108" s="7">
        <v>103</v>
      </c>
      <c r="B108" s="93">
        <v>43.8</v>
      </c>
      <c r="C108" s="93">
        <v>22</v>
      </c>
      <c r="D108" s="93">
        <v>4</v>
      </c>
      <c r="E108" s="93">
        <v>5</v>
      </c>
      <c r="F108" s="93">
        <v>21.9</v>
      </c>
      <c r="G108" s="93">
        <v>52.3</v>
      </c>
      <c r="H108" s="93" t="s">
        <v>87</v>
      </c>
      <c r="I108" s="93" t="s">
        <v>87</v>
      </c>
      <c r="J108" s="93" t="s">
        <v>87</v>
      </c>
      <c r="K108" s="93" t="s">
        <v>105</v>
      </c>
      <c r="L108" s="93">
        <v>0.5</v>
      </c>
      <c r="M108" s="93">
        <v>4</v>
      </c>
      <c r="N108" s="38" t="s">
        <v>87</v>
      </c>
      <c r="O108" s="38" t="s">
        <v>87</v>
      </c>
      <c r="P108" s="38" t="s">
        <v>87</v>
      </c>
      <c r="Q108" s="38" t="s">
        <v>87</v>
      </c>
      <c r="R108" s="38" t="s">
        <v>87</v>
      </c>
      <c r="S108" s="38" t="s">
        <v>87</v>
      </c>
      <c r="T108" s="38" t="s">
        <v>87</v>
      </c>
      <c r="U108" s="38" t="s">
        <v>87</v>
      </c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 t="s">
        <v>87</v>
      </c>
      <c r="AK108" s="38" t="s">
        <v>87</v>
      </c>
      <c r="AL108" s="38" t="s">
        <v>130</v>
      </c>
      <c r="AM108" s="38" t="s">
        <v>281</v>
      </c>
      <c r="AN108" s="38">
        <v>45</v>
      </c>
      <c r="AO108" s="38">
        <v>90</v>
      </c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>
        <f>IF(AND(PCdb[[#This Row],[BCD]]&gt;UIoptions!$S$10,PCdb[[#This Row],[BCD]]&lt;UIoptions!$T$10),1,0)</f>
        <v>0</v>
      </c>
      <c r="BC108" s="38">
        <f>IF(AND(PCdb[[#This Row],[PD]]&gt;UIoptions!$S$11,PCdb[[#This Row],[PD]]&lt;UIoptions!$T$11),1,0)</f>
        <v>0</v>
      </c>
      <c r="BD108" s="38">
        <f>IF(AND(UIoptions!$P$14&lt;=PCdb[[#This Row],[PL (MAX)]],UIoptions!$P$14&gt;UIoptions!$S$14),1,0)</f>
        <v>1</v>
      </c>
      <c r="BE108" s="38">
        <f>IF(AND(PCdb[[#This Row],[SD]]&gt;UIoptions!$S$12,PCdb[[#This Row],[SD]]&lt;UIoptions!$T$12),1,0)</f>
        <v>0</v>
      </c>
      <c r="BF108" s="38">
        <f>IF(AND(PCdb[[#This Row],[SL]]&gt;UIoptions!$S$13,PCdb[[#This Row],[SL]]&lt;UIoptions!$T$13),1,0)</f>
        <v>0</v>
      </c>
      <c r="BG108" s="38">
        <f>IF(UIoptions!$N$35=1,IF(AND(PCdb[[#This Row],[SQ_SZ]]&gt;UIoptions!$S$15,PCdb[[#This Row],[SQ_SZ]]&lt;UIoptions!$T$15),1,0),1)</f>
        <v>0</v>
      </c>
      <c r="BH108" s="38">
        <f>IF(UIoptions!$N$35=2,IF(AND(PCdb[[#This Row],[ROUND_D]]&gt;UIoptions!$S$15,PCdb[[#This Row],[ROUND_D]]&lt;UIoptions!$T$15),1,0),1)</f>
        <v>1</v>
      </c>
      <c r="BI108" s="38">
        <f>IF(UIoptions!$N$75&lt;&gt;1,1,IF(AND(PCdb[[#This Row],[FL]]&gt;UIoptions!$S$16,PCdb[[#This Row],[FL]]&lt;UIoptions!$T$16),1,0))</f>
        <v>0</v>
      </c>
      <c r="BJ108" s="38" t="e">
        <f>IF(OR(UIoptions!$Q$18=PCdb[[#This Row],[THRU_SCREW]],UIoptions!$Q$18="NA"),1,0)</f>
        <v>#N/A</v>
      </c>
      <c r="BK108" s="38">
        <f>IF(OR(UIoptions!$P$19=PCdb[[#This Row],[THREAD_SZ]],UIoptions!$P$19="NA"),1,0)</f>
        <v>1</v>
      </c>
      <c r="BL108" s="38">
        <f>IF(UIoptions!$N$75=1,1,IF(AND(PCdb[[#This Row],[THREAD_L]]&gt;UIoptions!$S$17,PCdb[[#This Row],[THREAD_L]]&lt;UIoptions!$T$17),1,0))</f>
        <v>1</v>
      </c>
      <c r="BM108" s="38" t="e">
        <f>IF(SUM(PCdb[[#This Row],[BDhit]:[THREAD_Lhit]])=11,1,0)</f>
        <v>#N/A</v>
      </c>
      <c r="BN10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43.8224521.952.3NANANAM30.54</v>
      </c>
      <c r="BO108" s="38" t="e">
        <f>SUM(PCdb[[#This Row],[BDhit]:[THREAD_Lhit]])</f>
        <v>#N/A</v>
      </c>
    </row>
    <row r="109" spans="1:67" x14ac:dyDescent="0.25">
      <c r="A109" s="103">
        <v>104</v>
      </c>
      <c r="B109" s="93">
        <v>66.599999999999994</v>
      </c>
      <c r="C109" s="93">
        <v>38.1</v>
      </c>
      <c r="D109" s="93">
        <v>4</v>
      </c>
      <c r="E109" s="93">
        <v>8</v>
      </c>
      <c r="F109" s="93">
        <v>20.6</v>
      </c>
      <c r="G109" s="93">
        <v>60</v>
      </c>
      <c r="H109" s="93" t="s">
        <v>87</v>
      </c>
      <c r="I109" s="93">
        <v>7</v>
      </c>
      <c r="J109" s="93" t="s">
        <v>7</v>
      </c>
      <c r="K109" s="93" t="s">
        <v>87</v>
      </c>
      <c r="L109" s="93" t="s">
        <v>87</v>
      </c>
      <c r="M109" s="93">
        <v>4</v>
      </c>
      <c r="N109" s="38" t="s">
        <v>7</v>
      </c>
      <c r="O109" s="103"/>
      <c r="P109" s="103"/>
      <c r="Q109" s="103"/>
      <c r="R109" s="103"/>
      <c r="S109" s="93"/>
      <c r="T109" s="93"/>
      <c r="U109" s="93" t="str">
        <f>IF(U96&gt;4,"",4)</f>
        <v/>
      </c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  <c r="AH109" s="93"/>
      <c r="AI109" s="93"/>
      <c r="AJ109" s="103">
        <v>23</v>
      </c>
      <c r="AK109" s="103">
        <v>0</v>
      </c>
      <c r="AL109" s="93" t="s">
        <v>130</v>
      </c>
      <c r="AM109" s="93" t="s">
        <v>177</v>
      </c>
      <c r="AN109" s="103">
        <v>45</v>
      </c>
      <c r="AO109" s="103">
        <v>90</v>
      </c>
      <c r="AP109" s="103"/>
      <c r="AQ109" s="103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>
        <f>IF(AND(PCdb[[#This Row],[BCD]]&gt;UIoptions!$S$10,PCdb[[#This Row],[BCD]]&lt;UIoptions!$T$10),1,0)</f>
        <v>0</v>
      </c>
      <c r="BC109" s="38">
        <f>IF(AND(PCdb[[#This Row],[PD]]&gt;UIoptions!$S$11,PCdb[[#This Row],[PD]]&lt;UIoptions!$T$11),1,0)</f>
        <v>0</v>
      </c>
      <c r="BD109" s="38">
        <f>IF(AND(UIoptions!$P$14&lt;=PCdb[[#This Row],[PL (MAX)]],UIoptions!$P$14&gt;UIoptions!$S$14),1,0)</f>
        <v>1</v>
      </c>
      <c r="BE109" s="38">
        <f>IF(AND(PCdb[[#This Row],[SD]]&gt;UIoptions!$S$12,PCdb[[#This Row],[SD]]&lt;UIoptions!$T$12),1,0)</f>
        <v>0</v>
      </c>
      <c r="BF109" s="38">
        <f>IF(AND(PCdb[[#This Row],[SL]]&gt;UIoptions!$S$13,PCdb[[#This Row],[SL]]&lt;UIoptions!$T$13),1,0)</f>
        <v>0</v>
      </c>
      <c r="BG109" s="38">
        <f>IF(UIoptions!$N$35=1,IF(AND(PCdb[[#This Row],[SQ_SZ]]&gt;UIoptions!$S$15,PCdb[[#This Row],[SQ_SZ]]&lt;UIoptions!$T$15),1,0),1)</f>
        <v>0</v>
      </c>
      <c r="BH109" s="38">
        <f>IF(UIoptions!$N$35=2,IF(AND(PCdb[[#This Row],[ROUND_D]]&gt;UIoptions!$S$15,PCdb[[#This Row],[ROUND_D]]&lt;UIoptions!$T$15),1,0),1)</f>
        <v>1</v>
      </c>
      <c r="BI109" s="38">
        <f>IF(UIoptions!$N$75&lt;&gt;1,1,IF(AND(PCdb[[#This Row],[FL]]&gt;UIoptions!$S$16,PCdb[[#This Row],[FL]]&lt;UIoptions!$T$16),1,0))</f>
        <v>0</v>
      </c>
      <c r="BJ109" s="38" t="e">
        <f>IF(OR(UIoptions!$Q$18=PCdb[[#This Row],[THRU_SCREW]],UIoptions!$Q$18="NA"),1,0)</f>
        <v>#N/A</v>
      </c>
      <c r="BK109" s="38">
        <f>IF(OR(UIoptions!$P$19=PCdb[[#This Row],[THREAD_SZ]],UIoptions!$P$19="NA"),1,0)</f>
        <v>1</v>
      </c>
      <c r="BL109" s="38">
        <f>IF(UIoptions!$N$75=1,1,IF(AND(PCdb[[#This Row],[THREAD_L]]&gt;UIoptions!$S$17,PCdb[[#This Row],[THREAD_L]]&lt;UIoptions!$T$17),1,0))</f>
        <v>1</v>
      </c>
      <c r="BM109" s="38" t="e">
        <f>IF(SUM(PCdb[[#This Row],[BDhit]:[THREAD_Lhit]])=11,1,0)</f>
        <v>#N/A</v>
      </c>
      <c r="BN10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66.638.14820.660NA7M4NANA4</v>
      </c>
      <c r="BO109" s="38" t="e">
        <f>SUM(PCdb[[#This Row],[BDhit]:[THREAD_Lhit]])</f>
        <v>#N/A</v>
      </c>
    </row>
    <row r="110" spans="1:67" x14ac:dyDescent="0.25">
      <c r="A110" s="7">
        <v>105</v>
      </c>
      <c r="B110" s="103">
        <v>70</v>
      </c>
      <c r="C110" s="103">
        <v>50</v>
      </c>
      <c r="D110" s="103">
        <v>4</v>
      </c>
      <c r="E110" s="103">
        <v>14</v>
      </c>
      <c r="F110" s="103">
        <v>27</v>
      </c>
      <c r="G110" s="103">
        <v>62</v>
      </c>
      <c r="H110" s="103" t="s">
        <v>87</v>
      </c>
      <c r="I110" s="103">
        <v>6</v>
      </c>
      <c r="J110" s="103" t="s">
        <v>45</v>
      </c>
      <c r="K110" s="103" t="s">
        <v>87</v>
      </c>
      <c r="L110" s="103" t="s">
        <v>87</v>
      </c>
      <c r="M110" s="103">
        <v>4</v>
      </c>
      <c r="N110" s="103" t="s">
        <v>45</v>
      </c>
      <c r="O110" s="38" t="s">
        <v>87</v>
      </c>
      <c r="P110" s="38" t="s">
        <v>87</v>
      </c>
      <c r="Q110" s="38" t="s">
        <v>87</v>
      </c>
      <c r="R110" s="38" t="s">
        <v>87</v>
      </c>
      <c r="S110" s="38" t="s">
        <v>87</v>
      </c>
      <c r="T110" s="38" t="s">
        <v>87</v>
      </c>
      <c r="U110" s="38" t="s">
        <v>87</v>
      </c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 t="s">
        <v>87</v>
      </c>
      <c r="AK110" s="38" t="s">
        <v>87</v>
      </c>
      <c r="AL110" s="38" t="s">
        <v>87</v>
      </c>
      <c r="AM110" s="38" t="s">
        <v>87</v>
      </c>
      <c r="AN110" s="38" t="s">
        <v>87</v>
      </c>
      <c r="AO110" s="38" t="s">
        <v>87</v>
      </c>
      <c r="AP110" s="38">
        <v>27</v>
      </c>
      <c r="AQ110" s="38">
        <v>0</v>
      </c>
      <c r="AR110" s="38" t="s">
        <v>130</v>
      </c>
      <c r="AS110" s="38" t="s">
        <v>176</v>
      </c>
      <c r="AT110" s="38">
        <v>45</v>
      </c>
      <c r="AU110" s="38">
        <v>90</v>
      </c>
      <c r="AV110" s="38"/>
      <c r="AW110" s="38"/>
      <c r="AX110" s="38"/>
      <c r="AY110" s="38"/>
      <c r="AZ110" s="38"/>
      <c r="BA110" s="38"/>
      <c r="BB110" s="38">
        <f>IF(AND(PCdb[[#This Row],[BCD]]&gt;UIoptions!$S$10,PCdb[[#This Row],[BCD]]&lt;UIoptions!$T$10),1,0)</f>
        <v>0</v>
      </c>
      <c r="BC110" s="38">
        <f>IF(AND(PCdb[[#This Row],[PD]]&gt;UIoptions!$S$11,PCdb[[#This Row],[PD]]&lt;UIoptions!$T$11),1,0)</f>
        <v>0</v>
      </c>
      <c r="BD110" s="38">
        <f>IF(AND(UIoptions!$P$14&lt;=PCdb[[#This Row],[PL (MAX)]],UIoptions!$P$14&gt;UIoptions!$S$14),1,0)</f>
        <v>1</v>
      </c>
      <c r="BE110" s="38">
        <f>IF(AND(PCdb[[#This Row],[SD]]&gt;UIoptions!$S$12,PCdb[[#This Row],[SD]]&lt;UIoptions!$T$12),1,0)</f>
        <v>0</v>
      </c>
      <c r="BF110" s="38">
        <f>IF(AND(PCdb[[#This Row],[SL]]&gt;UIoptions!$S$13,PCdb[[#This Row],[SL]]&lt;UIoptions!$T$13),1,0)</f>
        <v>0</v>
      </c>
      <c r="BG110" s="38">
        <f>IF(UIoptions!$N$35=1,IF(AND(PCdb[[#This Row],[SQ_SZ]]&gt;UIoptions!$S$15,PCdb[[#This Row],[SQ_SZ]]&lt;UIoptions!$T$15),1,0),1)</f>
        <v>0</v>
      </c>
      <c r="BH110" s="38">
        <f>IF(UIoptions!$N$35=2,IF(AND(PCdb[[#This Row],[ROUND_D]]&gt;UIoptions!$S$15,PCdb[[#This Row],[ROUND_D]]&lt;UIoptions!$T$15),1,0),1)</f>
        <v>1</v>
      </c>
      <c r="BI110" s="38">
        <f>IF(UIoptions!$N$75&lt;&gt;1,1,IF(AND(PCdb[[#This Row],[FL]]&gt;UIoptions!$S$16,PCdb[[#This Row],[FL]]&lt;UIoptions!$T$16),1,0))</f>
        <v>0</v>
      </c>
      <c r="BJ110" s="38" t="e">
        <f>IF(OR(UIoptions!$Q$18=PCdb[[#This Row],[THRU_SCREW]],UIoptions!$Q$18="NA"),1,0)</f>
        <v>#N/A</v>
      </c>
      <c r="BK110" s="38">
        <f>IF(OR(UIoptions!$P$19=PCdb[[#This Row],[THREAD_SZ]],UIoptions!$P$19="NA"),1,0)</f>
        <v>1</v>
      </c>
      <c r="BL110" s="38">
        <f>IF(UIoptions!$N$75=1,1,IF(AND(PCdb[[#This Row],[THREAD_L]]&gt;UIoptions!$S$17,PCdb[[#This Row],[THREAD_L]]&lt;UIoptions!$T$17),1,0))</f>
        <v>1</v>
      </c>
      <c r="BM110" s="38" t="e">
        <f>IF(SUM(PCdb[[#This Row],[BDhit]:[THREAD_Lhit]])=11,1,0)</f>
        <v>#N/A</v>
      </c>
      <c r="BN11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70504142762NA6M5NANA4</v>
      </c>
      <c r="BO110" s="38" t="e">
        <f>SUM(PCdb[[#This Row],[BDhit]:[THREAD_Lhit]])</f>
        <v>#N/A</v>
      </c>
    </row>
    <row r="111" spans="1:67" x14ac:dyDescent="0.25">
      <c r="A111" s="7">
        <v>106</v>
      </c>
      <c r="B111" s="93">
        <v>35</v>
      </c>
      <c r="C111" s="93">
        <v>28</v>
      </c>
      <c r="D111" s="93">
        <v>4</v>
      </c>
      <c r="E111" s="93">
        <v>12</v>
      </c>
      <c r="F111" s="93">
        <v>29.5</v>
      </c>
      <c r="G111" s="93">
        <v>42</v>
      </c>
      <c r="H111" s="93" t="s">
        <v>87</v>
      </c>
      <c r="I111" s="93" t="s">
        <v>87</v>
      </c>
      <c r="J111" s="93" t="s">
        <v>87</v>
      </c>
      <c r="K111" s="93" t="s">
        <v>7</v>
      </c>
      <c r="L111" s="93">
        <v>6</v>
      </c>
      <c r="M111" s="93">
        <v>4</v>
      </c>
      <c r="N111" s="38">
        <v>5</v>
      </c>
      <c r="O111" s="38"/>
      <c r="P111" s="38"/>
      <c r="Q111" s="38"/>
      <c r="R111" s="38"/>
      <c r="S111" s="38"/>
      <c r="T111" s="38"/>
      <c r="U111" s="38"/>
      <c r="V111" s="38"/>
      <c r="W111" s="38"/>
      <c r="X111" s="38">
        <v>35</v>
      </c>
      <c r="Y111" s="38">
        <v>28</v>
      </c>
      <c r="Z111" s="38">
        <v>4</v>
      </c>
      <c r="AA111" s="38">
        <v>12</v>
      </c>
      <c r="AB111" s="38">
        <v>29.5</v>
      </c>
      <c r="AC111" s="38">
        <v>42</v>
      </c>
      <c r="AD111" s="38" t="s">
        <v>87</v>
      </c>
      <c r="AE111" s="38" t="s">
        <v>87</v>
      </c>
      <c r="AF111" s="38" t="s">
        <v>87</v>
      </c>
      <c r="AG111" s="38" t="s">
        <v>7</v>
      </c>
      <c r="AH111" s="38">
        <v>6</v>
      </c>
      <c r="AI111" s="38">
        <v>4</v>
      </c>
      <c r="AJ111" s="38"/>
      <c r="AK111" s="38"/>
      <c r="AL111" s="38"/>
      <c r="AM111" s="38"/>
      <c r="AN111" s="38"/>
      <c r="AO111" s="38"/>
      <c r="AP111" s="38" t="s">
        <v>87</v>
      </c>
      <c r="AQ111" s="38" t="s">
        <v>87</v>
      </c>
      <c r="AR111" s="38" t="s">
        <v>130</v>
      </c>
      <c r="AS111" s="38" t="s">
        <v>680</v>
      </c>
      <c r="AT111" s="38">
        <v>45</v>
      </c>
      <c r="AU111" s="38">
        <v>90</v>
      </c>
      <c r="AV111" s="38"/>
      <c r="AW111" s="38"/>
      <c r="AX111" s="38"/>
      <c r="AY111" s="38"/>
      <c r="AZ111" s="38"/>
      <c r="BA111" s="38"/>
      <c r="BB111" s="38">
        <f>IF(AND(PCdb[[#This Row],[BCD]]&gt;UIoptions!$S$10,PCdb[[#This Row],[BCD]]&lt;UIoptions!$T$10),1,0)</f>
        <v>0</v>
      </c>
      <c r="BC111" s="38">
        <f>IF(AND(PCdb[[#This Row],[PD]]&gt;UIoptions!$S$11,PCdb[[#This Row],[PD]]&lt;UIoptions!$T$11),1,0)</f>
        <v>0</v>
      </c>
      <c r="BD111" s="38">
        <f>IF(AND(UIoptions!$P$14&lt;=PCdb[[#This Row],[PL (MAX)]],UIoptions!$P$14&gt;UIoptions!$S$14),1,0)</f>
        <v>1</v>
      </c>
      <c r="BE111" s="38">
        <f>IF(AND(PCdb[[#This Row],[SD]]&gt;UIoptions!$S$12,PCdb[[#This Row],[SD]]&lt;UIoptions!$T$12),1,0)</f>
        <v>0</v>
      </c>
      <c r="BF111" s="38">
        <f>IF(AND(PCdb[[#This Row],[SL]]&gt;UIoptions!$S$13,PCdb[[#This Row],[SL]]&lt;UIoptions!$T$13),1,0)</f>
        <v>0</v>
      </c>
      <c r="BG111" s="38">
        <f>IF(UIoptions!$N$35=1,IF(AND(PCdb[[#This Row],[SQ_SZ]]&gt;UIoptions!$S$15,PCdb[[#This Row],[SQ_SZ]]&lt;UIoptions!$T$15),1,0),1)</f>
        <v>0</v>
      </c>
      <c r="BH111" s="38">
        <f>IF(UIoptions!$N$35=2,IF(AND(PCdb[[#This Row],[ROUND_D]]&gt;UIoptions!$S$15,PCdb[[#This Row],[ROUND_D]]&lt;UIoptions!$T$15),1,0),1)</f>
        <v>1</v>
      </c>
      <c r="BI111" s="38">
        <f>IF(UIoptions!$N$75&lt;&gt;1,1,IF(AND(PCdb[[#This Row],[FL]]&gt;UIoptions!$S$16,PCdb[[#This Row],[FL]]&lt;UIoptions!$T$16),1,0))</f>
        <v>0</v>
      </c>
      <c r="BJ111" s="38" t="e">
        <f>IF(OR(UIoptions!$Q$18=PCdb[[#This Row],[THRU_SCREW]],UIoptions!$Q$18="NA"),1,0)</f>
        <v>#N/A</v>
      </c>
      <c r="BK111" s="38">
        <f>IF(OR(UIoptions!$P$19=PCdb[[#This Row],[THREAD_SZ]],UIoptions!$P$19="NA"),1,0)</f>
        <v>1</v>
      </c>
      <c r="BL111" s="38">
        <f>IF(UIoptions!$N$75=1,1,IF(AND(PCdb[[#This Row],[THREAD_L]]&gt;UIoptions!$S$17,PCdb[[#This Row],[THREAD_L]]&lt;UIoptions!$T$17),1,0))</f>
        <v>1</v>
      </c>
      <c r="BM111" s="38" t="e">
        <f>IF(SUM(PCdb[[#This Row],[BDhit]:[THREAD_Lhit]])=11,1,0)</f>
        <v>#N/A</v>
      </c>
      <c r="BN11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352841229.542NANANAM464</v>
      </c>
      <c r="BO111" s="38" t="e">
        <f>SUM(PCdb[[#This Row],[BDhit]:[THREAD_Lhit]])</f>
        <v>#N/A</v>
      </c>
    </row>
    <row r="112" spans="1:67" x14ac:dyDescent="0.25">
      <c r="A112" s="7">
        <v>107</v>
      </c>
      <c r="B112" s="93">
        <v>62</v>
      </c>
      <c r="C112" s="93">
        <v>52</v>
      </c>
      <c r="D112" s="93">
        <v>5</v>
      </c>
      <c r="E112" s="93">
        <v>16</v>
      </c>
      <c r="F112" s="93">
        <v>36</v>
      </c>
      <c r="G112" s="93" t="s">
        <v>87</v>
      </c>
      <c r="H112" s="93">
        <v>70</v>
      </c>
      <c r="I112" s="93" t="s">
        <v>87</v>
      </c>
      <c r="J112" s="93" t="s">
        <v>87</v>
      </c>
      <c r="K112" s="93" t="s">
        <v>45</v>
      </c>
      <c r="L112" s="93">
        <v>10</v>
      </c>
      <c r="M112" s="93">
        <v>4</v>
      </c>
      <c r="N112" s="38">
        <v>6</v>
      </c>
      <c r="O112" s="38"/>
      <c r="P112" s="38"/>
      <c r="Q112" s="38"/>
      <c r="R112" s="38"/>
      <c r="S112" s="38"/>
      <c r="T112" s="38"/>
      <c r="U112" s="38"/>
      <c r="V112" s="25">
        <v>41.7</v>
      </c>
      <c r="W112" s="38" t="s">
        <v>87</v>
      </c>
      <c r="X112" s="38" t="s">
        <v>87</v>
      </c>
      <c r="Y112" s="38" t="s">
        <v>180</v>
      </c>
      <c r="Z112" s="38" t="s">
        <v>657</v>
      </c>
      <c r="AA112" s="38">
        <v>45</v>
      </c>
      <c r="AB112" s="38">
        <v>90</v>
      </c>
      <c r="AC112" s="38">
        <v>38.700000000000003</v>
      </c>
      <c r="AD112" s="38" t="s">
        <v>87</v>
      </c>
      <c r="AE112" s="38" t="s">
        <v>87</v>
      </c>
      <c r="AF112" s="38" t="s">
        <v>130</v>
      </c>
      <c r="AG112" s="38" t="s">
        <v>657</v>
      </c>
      <c r="AH112" s="38">
        <v>45</v>
      </c>
      <c r="AI112" s="38">
        <v>90</v>
      </c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 t="s">
        <v>87</v>
      </c>
      <c r="AW112" s="38" t="s">
        <v>87</v>
      </c>
      <c r="AX112" s="38" t="s">
        <v>130</v>
      </c>
      <c r="AY112" s="38" t="s">
        <v>681</v>
      </c>
      <c r="AZ112" s="38">
        <v>0</v>
      </c>
      <c r="BA112" s="38">
        <v>90</v>
      </c>
      <c r="BB112" s="38">
        <f>IF(AND(PCdb[[#This Row],[BCD]]&gt;UIoptions!$S$10,PCdb[[#This Row],[BCD]]&lt;UIoptions!$T$10),1,0)</f>
        <v>0</v>
      </c>
      <c r="BC112" s="38">
        <f>IF(AND(PCdb[[#This Row],[PD]]&gt;UIoptions!$S$11,PCdb[[#This Row],[PD]]&lt;UIoptions!$T$11),1,0)</f>
        <v>0</v>
      </c>
      <c r="BD112" s="38">
        <f>IF(AND(UIoptions!$P$14&lt;=PCdb[[#This Row],[PL (MAX)]],UIoptions!$P$14&gt;UIoptions!$S$14),1,0)</f>
        <v>1</v>
      </c>
      <c r="BE112" s="38">
        <f>IF(AND(PCdb[[#This Row],[SD]]&gt;UIoptions!$S$12,PCdb[[#This Row],[SD]]&lt;UIoptions!$T$12),1,0)</f>
        <v>0</v>
      </c>
      <c r="BF112" s="38">
        <f>IF(AND(PCdb[[#This Row],[SL]]&gt;UIoptions!$S$13,PCdb[[#This Row],[SL]]&lt;UIoptions!$T$13),1,0)</f>
        <v>0</v>
      </c>
      <c r="BG112" s="38">
        <f>IF(UIoptions!$N$35=1,IF(AND(PCdb[[#This Row],[SQ_SZ]]&gt;UIoptions!$S$15,PCdb[[#This Row],[SQ_SZ]]&lt;UIoptions!$T$15),1,0),1)</f>
        <v>0</v>
      </c>
      <c r="BH112" s="38">
        <f>IF(UIoptions!$N$35=2,IF(AND(PCdb[[#This Row],[ROUND_D]]&gt;UIoptions!$S$15,PCdb[[#This Row],[ROUND_D]]&lt;UIoptions!$T$15),1,0),1)</f>
        <v>1</v>
      </c>
      <c r="BI112" s="38">
        <f>IF(UIoptions!$N$75&lt;&gt;1,1,IF(AND(PCdb[[#This Row],[FL]]&gt;UIoptions!$S$16,PCdb[[#This Row],[FL]]&lt;UIoptions!$T$16),1,0))</f>
        <v>0</v>
      </c>
      <c r="BJ112" s="38" t="e">
        <f>IF(OR(UIoptions!$Q$18=PCdb[[#This Row],[THRU_SCREW]],UIoptions!$Q$18="NA"),1,0)</f>
        <v>#N/A</v>
      </c>
      <c r="BK112" s="38">
        <f>IF(OR(UIoptions!$P$19=PCdb[[#This Row],[THREAD_SZ]],UIoptions!$P$19="NA"),1,0)</f>
        <v>1</v>
      </c>
      <c r="BL112" s="38">
        <f>IF(UIoptions!$N$75=1,1,IF(AND(PCdb[[#This Row],[THREAD_L]]&gt;UIoptions!$S$17,PCdb[[#This Row],[THREAD_L]]&lt;UIoptions!$T$17),1,0))</f>
        <v>1</v>
      </c>
      <c r="BM112" s="38" t="e">
        <f>IF(SUM(PCdb[[#This Row],[BDhit]:[THREAD_Lhit]])=11,1,0)</f>
        <v>#N/A</v>
      </c>
      <c r="BN11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625251636NA70NANAM5104</v>
      </c>
      <c r="BO112" s="38" t="e">
        <f>SUM(PCdb[[#This Row],[BDhit]:[THREAD_Lhit]])</f>
        <v>#N/A</v>
      </c>
    </row>
    <row r="113" spans="1:67" x14ac:dyDescent="0.25">
      <c r="A113" s="7">
        <v>108</v>
      </c>
      <c r="B113" s="93">
        <v>100</v>
      </c>
      <c r="C113" s="93">
        <v>80</v>
      </c>
      <c r="D113" s="93">
        <v>4</v>
      </c>
      <c r="E113" s="93">
        <v>16</v>
      </c>
      <c r="F113" s="93">
        <v>40</v>
      </c>
      <c r="G113" s="93">
        <v>89.4</v>
      </c>
      <c r="H113" s="93" t="s">
        <v>87</v>
      </c>
      <c r="I113" s="93">
        <v>9.9</v>
      </c>
      <c r="J113" s="93" t="s">
        <v>7</v>
      </c>
      <c r="K113" s="93" t="s">
        <v>87</v>
      </c>
      <c r="L113" s="93" t="s">
        <v>87</v>
      </c>
      <c r="M113" s="93">
        <v>4</v>
      </c>
      <c r="N113" s="38" t="s">
        <v>7</v>
      </c>
      <c r="O113" s="38" t="s">
        <v>87</v>
      </c>
      <c r="P113" s="38" t="s">
        <v>87</v>
      </c>
      <c r="Q113" s="38" t="s">
        <v>87</v>
      </c>
      <c r="R113" s="38" t="s">
        <v>87</v>
      </c>
      <c r="S113" s="38" t="s">
        <v>87</v>
      </c>
      <c r="T113" s="38" t="s">
        <v>87</v>
      </c>
      <c r="U113" s="38" t="s">
        <v>87</v>
      </c>
      <c r="V113" s="38" t="s">
        <v>87</v>
      </c>
      <c r="W113" s="38" t="s">
        <v>87</v>
      </c>
      <c r="X113" s="38" t="s">
        <v>87</v>
      </c>
      <c r="Y113" s="38" t="s">
        <v>87</v>
      </c>
      <c r="Z113" s="38" t="s">
        <v>87</v>
      </c>
      <c r="AA113" s="38" t="s">
        <v>87</v>
      </c>
      <c r="AB113" s="38" t="s">
        <v>87</v>
      </c>
      <c r="AC113" s="38">
        <v>45.2</v>
      </c>
      <c r="AD113" s="38">
        <v>42</v>
      </c>
      <c r="AE113" s="38">
        <v>0</v>
      </c>
      <c r="AF113" s="38" t="s">
        <v>130</v>
      </c>
      <c r="AG113" s="38" t="s">
        <v>172</v>
      </c>
      <c r="AH113" s="38">
        <v>45</v>
      </c>
      <c r="AI113" s="38">
        <v>90</v>
      </c>
      <c r="AJ113" s="38" t="s">
        <v>87</v>
      </c>
      <c r="AK113" s="38" t="s">
        <v>87</v>
      </c>
      <c r="AL113" s="38" t="s">
        <v>87</v>
      </c>
      <c r="AM113" s="38" t="s">
        <v>87</v>
      </c>
      <c r="AN113" s="38" t="s">
        <v>87</v>
      </c>
      <c r="AO113" s="38" t="s">
        <v>87</v>
      </c>
      <c r="AP113" s="38" t="s">
        <v>87</v>
      </c>
      <c r="AQ113" s="38" t="s">
        <v>87</v>
      </c>
      <c r="AR113" s="38" t="s">
        <v>87</v>
      </c>
      <c r="AS113" s="38" t="s">
        <v>87</v>
      </c>
      <c r="AT113" s="38" t="s">
        <v>87</v>
      </c>
      <c r="AU113" s="38" t="s">
        <v>87</v>
      </c>
      <c r="AV113" s="38"/>
      <c r="AW113" s="38"/>
      <c r="AX113" s="38"/>
      <c r="AY113" s="38"/>
      <c r="AZ113" s="38"/>
      <c r="BA113" s="38"/>
      <c r="BB113" s="38">
        <f>IF(AND(PCdb[[#This Row],[BCD]]&gt;UIoptions!$S$10,PCdb[[#This Row],[BCD]]&lt;UIoptions!$T$10),1,0)</f>
        <v>0</v>
      </c>
      <c r="BC113" s="38">
        <f>IF(AND(PCdb[[#This Row],[PD]]&gt;UIoptions!$S$11,PCdb[[#This Row],[PD]]&lt;UIoptions!$T$11),1,0)</f>
        <v>0</v>
      </c>
      <c r="BD113" s="38">
        <f>IF(AND(UIoptions!$P$14&lt;=PCdb[[#This Row],[PL (MAX)]],UIoptions!$P$14&gt;UIoptions!$S$14),1,0)</f>
        <v>1</v>
      </c>
      <c r="BE113" s="38">
        <f>IF(AND(PCdb[[#This Row],[SD]]&gt;UIoptions!$S$12,PCdb[[#This Row],[SD]]&lt;UIoptions!$T$12),1,0)</f>
        <v>0</v>
      </c>
      <c r="BF113" s="38">
        <f>IF(AND(PCdb[[#This Row],[SL]]&gt;UIoptions!$S$13,PCdb[[#This Row],[SL]]&lt;UIoptions!$T$13),1,0)</f>
        <v>0</v>
      </c>
      <c r="BG113" s="38">
        <f>IF(UIoptions!$N$35=1,IF(AND(PCdb[[#This Row],[SQ_SZ]]&gt;UIoptions!$S$15,PCdb[[#This Row],[SQ_SZ]]&lt;UIoptions!$T$15),1,0),1)</f>
        <v>0</v>
      </c>
      <c r="BH113" s="38">
        <f>IF(UIoptions!$N$35=2,IF(AND(PCdb[[#This Row],[ROUND_D]]&gt;UIoptions!$S$15,PCdb[[#This Row],[ROUND_D]]&lt;UIoptions!$T$15),1,0),1)</f>
        <v>1</v>
      </c>
      <c r="BI113" s="38">
        <f>IF(UIoptions!$N$75&lt;&gt;1,1,IF(AND(PCdb[[#This Row],[FL]]&gt;UIoptions!$S$16,PCdb[[#This Row],[FL]]&lt;UIoptions!$T$16),1,0))</f>
        <v>0</v>
      </c>
      <c r="BJ113" s="38" t="e">
        <f>IF(OR(UIoptions!$Q$18=PCdb[[#This Row],[THRU_SCREW]],UIoptions!$Q$18="NA"),1,0)</f>
        <v>#N/A</v>
      </c>
      <c r="BK113" s="38">
        <f>IF(OR(UIoptions!$P$19=PCdb[[#This Row],[THREAD_SZ]],UIoptions!$P$19="NA"),1,0)</f>
        <v>1</v>
      </c>
      <c r="BL113" s="38">
        <f>IF(UIoptions!$N$75=1,1,IF(AND(PCdb[[#This Row],[THREAD_L]]&gt;UIoptions!$S$17,PCdb[[#This Row],[THREAD_L]]&lt;UIoptions!$T$17),1,0))</f>
        <v>1</v>
      </c>
      <c r="BM113" s="38" t="e">
        <f>IF(SUM(PCdb[[#This Row],[BDhit]:[THREAD_Lhit]])=11,1,0)</f>
        <v>#N/A</v>
      </c>
      <c r="BN11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100804164089.4NA9.9M4NANA4</v>
      </c>
      <c r="BO113" s="38" t="e">
        <f>SUM(PCdb[[#This Row],[BDhit]:[THREAD_Lhit]])</f>
        <v>#N/A</v>
      </c>
    </row>
    <row r="114" spans="1:67" x14ac:dyDescent="0.25">
      <c r="A114" s="7">
        <v>109</v>
      </c>
      <c r="B114" s="93">
        <v>52</v>
      </c>
      <c r="C114" s="93">
        <v>40</v>
      </c>
      <c r="D114" s="93">
        <v>4</v>
      </c>
      <c r="E114" s="93">
        <v>14</v>
      </c>
      <c r="F114" s="93">
        <v>35</v>
      </c>
      <c r="G114" s="93" t="s">
        <v>87</v>
      </c>
      <c r="H114" s="93">
        <v>60</v>
      </c>
      <c r="I114" s="93" t="s">
        <v>87</v>
      </c>
      <c r="J114" s="93" t="s">
        <v>87</v>
      </c>
      <c r="K114" s="93" t="s">
        <v>45</v>
      </c>
      <c r="L114" s="93">
        <v>8</v>
      </c>
      <c r="M114" s="93">
        <v>4</v>
      </c>
      <c r="N114" s="38">
        <v>6</v>
      </c>
      <c r="O114" s="38" t="s">
        <v>87</v>
      </c>
      <c r="P114" s="38" t="s">
        <v>87</v>
      </c>
      <c r="Q114" s="38" t="s">
        <v>87</v>
      </c>
      <c r="R114" s="38" t="s">
        <v>87</v>
      </c>
      <c r="S114" s="38" t="s">
        <v>87</v>
      </c>
      <c r="T114" s="38" t="s">
        <v>87</v>
      </c>
      <c r="U114" s="38" t="s">
        <v>87</v>
      </c>
      <c r="V114" s="38"/>
      <c r="W114" s="38"/>
      <c r="X114" s="38"/>
      <c r="Y114" s="38"/>
      <c r="Z114" s="38"/>
      <c r="AA114" s="38"/>
      <c r="AB114" s="38"/>
      <c r="AC114" s="38">
        <v>48.7</v>
      </c>
      <c r="AD114" s="38" t="s">
        <v>87</v>
      </c>
      <c r="AE114" s="38">
        <v>0</v>
      </c>
      <c r="AF114" s="38" t="s">
        <v>130</v>
      </c>
      <c r="AG114" s="38" t="s">
        <v>279</v>
      </c>
      <c r="AH114" s="38">
        <v>45</v>
      </c>
      <c r="AI114" s="38">
        <v>90</v>
      </c>
      <c r="AJ114" s="38" t="s">
        <v>87</v>
      </c>
      <c r="AK114" s="38" t="s">
        <v>87</v>
      </c>
      <c r="AL114" s="38" t="s">
        <v>87</v>
      </c>
      <c r="AM114" s="38" t="s">
        <v>87</v>
      </c>
      <c r="AN114" s="38" t="s">
        <v>87</v>
      </c>
      <c r="AO114" s="38" t="s">
        <v>87</v>
      </c>
      <c r="AP114" s="38" t="s">
        <v>87</v>
      </c>
      <c r="AQ114" s="38" t="s">
        <v>87</v>
      </c>
      <c r="AR114" s="38" t="s">
        <v>130</v>
      </c>
      <c r="AS114" s="38" t="s">
        <v>281</v>
      </c>
      <c r="AT114" s="38">
        <v>45</v>
      </c>
      <c r="AU114" s="38">
        <v>90</v>
      </c>
      <c r="AV114" s="38" t="s">
        <v>87</v>
      </c>
      <c r="AW114" s="38" t="s">
        <v>87</v>
      </c>
      <c r="AX114" s="38" t="s">
        <v>130</v>
      </c>
      <c r="AY114" s="38" t="s">
        <v>281</v>
      </c>
      <c r="AZ114" s="38">
        <v>45</v>
      </c>
      <c r="BA114" s="38">
        <v>90</v>
      </c>
      <c r="BB114" s="38">
        <f>IF(AND(PCdb[[#This Row],[BCD]]&gt;UIoptions!$S$10,PCdb[[#This Row],[BCD]]&lt;UIoptions!$T$10),1,0)</f>
        <v>0</v>
      </c>
      <c r="BC114" s="38">
        <f>IF(AND(PCdb[[#This Row],[PD]]&gt;UIoptions!$S$11,PCdb[[#This Row],[PD]]&lt;UIoptions!$T$11),1,0)</f>
        <v>0</v>
      </c>
      <c r="BD114" s="38">
        <f>IF(AND(UIoptions!$P$14&lt;=PCdb[[#This Row],[PL (MAX)]],UIoptions!$P$14&gt;UIoptions!$S$14),1,0)</f>
        <v>1</v>
      </c>
      <c r="BE114" s="38">
        <f>IF(AND(PCdb[[#This Row],[SD]]&gt;UIoptions!$S$12,PCdb[[#This Row],[SD]]&lt;UIoptions!$T$12),1,0)</f>
        <v>0</v>
      </c>
      <c r="BF114" s="38">
        <f>IF(AND(PCdb[[#This Row],[SL]]&gt;UIoptions!$S$13,PCdb[[#This Row],[SL]]&lt;UIoptions!$T$13),1,0)</f>
        <v>0</v>
      </c>
      <c r="BG114" s="38">
        <f>IF(UIoptions!$N$35=1,IF(AND(PCdb[[#This Row],[SQ_SZ]]&gt;UIoptions!$S$15,PCdb[[#This Row],[SQ_SZ]]&lt;UIoptions!$T$15),1,0),1)</f>
        <v>0</v>
      </c>
      <c r="BH114" s="38">
        <f>IF(UIoptions!$N$35=2,IF(AND(PCdb[[#This Row],[ROUND_D]]&gt;UIoptions!$S$15,PCdb[[#This Row],[ROUND_D]]&lt;UIoptions!$T$15),1,0),1)</f>
        <v>1</v>
      </c>
      <c r="BI114" s="38">
        <f>IF(UIoptions!$N$75&lt;&gt;1,1,IF(AND(PCdb[[#This Row],[FL]]&gt;UIoptions!$S$16,PCdb[[#This Row],[FL]]&lt;UIoptions!$T$16),1,0))</f>
        <v>0</v>
      </c>
      <c r="BJ114" s="38" t="e">
        <f>IF(OR(UIoptions!$Q$18=PCdb[[#This Row],[THRU_SCREW]],UIoptions!$Q$18="NA"),1,0)</f>
        <v>#N/A</v>
      </c>
      <c r="BK114" s="38">
        <f>IF(OR(UIoptions!$P$19=PCdb[[#This Row],[THREAD_SZ]],UIoptions!$P$19="NA"),1,0)</f>
        <v>1</v>
      </c>
      <c r="BL114" s="38">
        <f>IF(UIoptions!$N$75=1,1,IF(AND(PCdb[[#This Row],[THREAD_L]]&gt;UIoptions!$S$17,PCdb[[#This Row],[THREAD_L]]&lt;UIoptions!$T$17),1,0))</f>
        <v>1</v>
      </c>
      <c r="BM114" s="38" t="e">
        <f>IF(SUM(PCdb[[#This Row],[BDhit]:[THREAD_Lhit]])=11,1,0)</f>
        <v>#N/A</v>
      </c>
      <c r="BN11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524041435NA60NANAM584</v>
      </c>
      <c r="BO114" s="38" t="e">
        <f>SUM(PCdb[[#This Row],[BDhit]:[THREAD_Lhit]])</f>
        <v>#N/A</v>
      </c>
    </row>
    <row r="115" spans="1:67" x14ac:dyDescent="0.25">
      <c r="A115" s="7">
        <v>110</v>
      </c>
      <c r="B115" s="93">
        <v>45</v>
      </c>
      <c r="C115" s="93">
        <v>19.5</v>
      </c>
      <c r="D115" s="93">
        <v>4</v>
      </c>
      <c r="E115" s="93">
        <v>8</v>
      </c>
      <c r="F115" s="93">
        <v>15</v>
      </c>
      <c r="G115" s="93" t="s">
        <v>87</v>
      </c>
      <c r="H115" s="93">
        <v>45</v>
      </c>
      <c r="I115" s="93">
        <v>5.5</v>
      </c>
      <c r="J115" s="93" t="s">
        <v>105</v>
      </c>
      <c r="K115" s="93" t="s">
        <v>87</v>
      </c>
      <c r="L115" s="93" t="s">
        <v>87</v>
      </c>
      <c r="M115" s="93">
        <v>4</v>
      </c>
      <c r="N115" s="38" t="s">
        <v>105</v>
      </c>
      <c r="O115" s="38" t="s">
        <v>87</v>
      </c>
      <c r="P115" s="38" t="s">
        <v>87</v>
      </c>
      <c r="Q115" s="38" t="s">
        <v>87</v>
      </c>
      <c r="R115" s="38" t="s">
        <v>87</v>
      </c>
      <c r="S115" s="38" t="s">
        <v>87</v>
      </c>
      <c r="T115" s="38" t="s">
        <v>87</v>
      </c>
      <c r="U115" s="38" t="s">
        <v>87</v>
      </c>
      <c r="V115" s="38" t="s">
        <v>87</v>
      </c>
      <c r="W115" s="38" t="s">
        <v>87</v>
      </c>
      <c r="X115" s="38" t="s">
        <v>87</v>
      </c>
      <c r="Y115" s="38" t="s">
        <v>87</v>
      </c>
      <c r="Z115" s="38" t="s">
        <v>87</v>
      </c>
      <c r="AA115" s="38" t="s">
        <v>87</v>
      </c>
      <c r="AB115" s="38" t="s">
        <v>87</v>
      </c>
      <c r="AC115" s="38" t="s">
        <v>87</v>
      </c>
      <c r="AD115" s="38" t="s">
        <v>87</v>
      </c>
      <c r="AE115" s="38" t="s">
        <v>87</v>
      </c>
      <c r="AF115" s="38" t="s">
        <v>87</v>
      </c>
      <c r="AG115" s="38" t="s">
        <v>87</v>
      </c>
      <c r="AH115" s="38" t="s">
        <v>87</v>
      </c>
      <c r="AI115" s="38" t="s">
        <v>87</v>
      </c>
      <c r="AJ115" s="38">
        <v>15</v>
      </c>
      <c r="AK115" s="38">
        <v>0</v>
      </c>
      <c r="AL115" s="38" t="s">
        <v>130</v>
      </c>
      <c r="AM115" s="38" t="s">
        <v>176</v>
      </c>
      <c r="AN115" s="38">
        <v>45</v>
      </c>
      <c r="AO115" s="38">
        <v>90</v>
      </c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>
        <f>IF(AND(PCdb[[#This Row],[BCD]]&gt;UIoptions!$S$10,PCdb[[#This Row],[BCD]]&lt;UIoptions!$T$10),1,0)</f>
        <v>0</v>
      </c>
      <c r="BC115" s="38">
        <f>IF(AND(PCdb[[#This Row],[PD]]&gt;UIoptions!$S$11,PCdb[[#This Row],[PD]]&lt;UIoptions!$T$11),1,0)</f>
        <v>0</v>
      </c>
      <c r="BD115" s="38">
        <f>IF(AND(UIoptions!$P$14&lt;=PCdb[[#This Row],[PL (MAX)]],UIoptions!$P$14&gt;UIoptions!$S$14),1,0)</f>
        <v>1</v>
      </c>
      <c r="BE115" s="38">
        <f>IF(AND(PCdb[[#This Row],[SD]]&gt;UIoptions!$S$12,PCdb[[#This Row],[SD]]&lt;UIoptions!$T$12),1,0)</f>
        <v>0</v>
      </c>
      <c r="BF115" s="38">
        <f>IF(AND(PCdb[[#This Row],[SL]]&gt;UIoptions!$S$13,PCdb[[#This Row],[SL]]&lt;UIoptions!$T$13),1,0)</f>
        <v>0</v>
      </c>
      <c r="BG115" s="38">
        <f>IF(UIoptions!$N$35=1,IF(AND(PCdb[[#This Row],[SQ_SZ]]&gt;UIoptions!$S$15,PCdb[[#This Row],[SQ_SZ]]&lt;UIoptions!$T$15),1,0),1)</f>
        <v>0</v>
      </c>
      <c r="BH115" s="38">
        <f>IF(UIoptions!$N$35=2,IF(AND(PCdb[[#This Row],[ROUND_D]]&gt;UIoptions!$S$15,PCdb[[#This Row],[ROUND_D]]&lt;UIoptions!$T$15),1,0),1)</f>
        <v>1</v>
      </c>
      <c r="BI115" s="38">
        <f>IF(UIoptions!$N$75&lt;&gt;1,1,IF(AND(PCdb[[#This Row],[FL]]&gt;UIoptions!$S$16,PCdb[[#This Row],[FL]]&lt;UIoptions!$T$16),1,0))</f>
        <v>0</v>
      </c>
      <c r="BJ115" s="38" t="e">
        <f>IF(OR(UIoptions!$Q$18=PCdb[[#This Row],[THRU_SCREW]],UIoptions!$Q$18="NA"),1,0)</f>
        <v>#N/A</v>
      </c>
      <c r="BK115" s="38">
        <f>IF(OR(UIoptions!$P$19=PCdb[[#This Row],[THREAD_SZ]],UIoptions!$P$19="NA"),1,0)</f>
        <v>1</v>
      </c>
      <c r="BL115" s="38">
        <f>IF(UIoptions!$N$75=1,1,IF(AND(PCdb[[#This Row],[THREAD_L]]&gt;UIoptions!$S$17,PCdb[[#This Row],[THREAD_L]]&lt;UIoptions!$T$17),1,0))</f>
        <v>1</v>
      </c>
      <c r="BM115" s="38" t="e">
        <f>IF(SUM(PCdb[[#This Row],[BDhit]:[THREAD_Lhit]])=11,1,0)</f>
        <v>#N/A</v>
      </c>
      <c r="BN11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4519.54815NA455.5M3NANA4</v>
      </c>
      <c r="BO115" s="38" t="e">
        <f>SUM(PCdb[[#This Row],[BDhit]:[THREAD_Lhit]])</f>
        <v>#N/A</v>
      </c>
    </row>
    <row r="116" spans="1:67" x14ac:dyDescent="0.25">
      <c r="A116" s="7">
        <v>111</v>
      </c>
      <c r="B116" s="93">
        <v>65</v>
      </c>
      <c r="C116" s="93">
        <v>50</v>
      </c>
      <c r="D116" s="93">
        <v>4</v>
      </c>
      <c r="E116" s="93">
        <v>9</v>
      </c>
      <c r="F116" s="93">
        <v>20</v>
      </c>
      <c r="G116" s="93" t="s">
        <v>87</v>
      </c>
      <c r="H116" s="93">
        <v>80</v>
      </c>
      <c r="I116" s="93" t="s">
        <v>87</v>
      </c>
      <c r="J116" s="93" t="s">
        <v>87</v>
      </c>
      <c r="K116" s="93" t="s">
        <v>45</v>
      </c>
      <c r="L116" s="93">
        <v>8</v>
      </c>
      <c r="M116" s="93">
        <v>4</v>
      </c>
      <c r="N116" s="38">
        <v>6</v>
      </c>
      <c r="O116" s="38" t="s">
        <v>87</v>
      </c>
      <c r="P116" s="38" t="s">
        <v>87</v>
      </c>
      <c r="Q116" s="38" t="s">
        <v>87</v>
      </c>
      <c r="R116" s="38" t="s">
        <v>87</v>
      </c>
      <c r="S116" s="38" t="s">
        <v>87</v>
      </c>
      <c r="T116" s="38" t="s">
        <v>87</v>
      </c>
      <c r="U116" s="38" t="s">
        <v>87</v>
      </c>
      <c r="V116" s="38" t="s">
        <v>87</v>
      </c>
      <c r="W116" s="38" t="s">
        <v>87</v>
      </c>
      <c r="X116" s="38" t="s">
        <v>87</v>
      </c>
      <c r="Y116" s="38" t="s">
        <v>87</v>
      </c>
      <c r="Z116" s="38" t="s">
        <v>87</v>
      </c>
      <c r="AA116" s="38" t="s">
        <v>87</v>
      </c>
      <c r="AB116" s="38"/>
      <c r="AC116" s="38"/>
      <c r="AD116" s="38"/>
      <c r="AE116" s="38"/>
      <c r="AF116" s="38"/>
      <c r="AG116" s="38"/>
      <c r="AH116" s="38"/>
      <c r="AI116" s="38"/>
      <c r="AJ116" s="38" t="s">
        <v>87</v>
      </c>
      <c r="AK116" s="38" t="s">
        <v>87</v>
      </c>
      <c r="AL116" s="38" t="s">
        <v>87</v>
      </c>
      <c r="AM116" s="38" t="s">
        <v>87</v>
      </c>
      <c r="AN116" s="38" t="s">
        <v>87</v>
      </c>
      <c r="AO116" s="38" t="s">
        <v>87</v>
      </c>
      <c r="AP116" s="38" t="s">
        <v>87</v>
      </c>
      <c r="AQ116" s="38" t="s">
        <v>87</v>
      </c>
      <c r="AR116" s="38" t="s">
        <v>607</v>
      </c>
      <c r="AS116" s="38" t="s">
        <v>281</v>
      </c>
      <c r="AT116" s="38">
        <v>45</v>
      </c>
      <c r="AU116" s="38">
        <v>90</v>
      </c>
      <c r="AV116" s="38"/>
      <c r="AW116" s="38"/>
      <c r="AX116" s="38"/>
      <c r="AY116" s="38"/>
      <c r="AZ116" s="38"/>
      <c r="BA116" s="38"/>
      <c r="BB116" s="38">
        <f>IF(AND(PCdb[[#This Row],[BCD]]&gt;UIoptions!$S$10,PCdb[[#This Row],[BCD]]&lt;UIoptions!$T$10),1,0)</f>
        <v>0</v>
      </c>
      <c r="BC116" s="38">
        <f>IF(AND(PCdb[[#This Row],[PD]]&gt;UIoptions!$S$11,PCdb[[#This Row],[PD]]&lt;UIoptions!$T$11),1,0)</f>
        <v>0</v>
      </c>
      <c r="BD116" s="38">
        <f>IF(AND(UIoptions!$P$14&lt;=PCdb[[#This Row],[PL (MAX)]],UIoptions!$P$14&gt;UIoptions!$S$14),1,0)</f>
        <v>1</v>
      </c>
      <c r="BE116" s="38">
        <f>IF(AND(PCdb[[#This Row],[SD]]&gt;UIoptions!$S$12,PCdb[[#This Row],[SD]]&lt;UIoptions!$T$12),1,0)</f>
        <v>0</v>
      </c>
      <c r="BF116" s="38">
        <f>IF(AND(PCdb[[#This Row],[SL]]&gt;UIoptions!$S$13,PCdb[[#This Row],[SL]]&lt;UIoptions!$T$13),1,0)</f>
        <v>0</v>
      </c>
      <c r="BG116" s="38">
        <f>IF(UIoptions!$N$35=1,IF(AND(PCdb[[#This Row],[SQ_SZ]]&gt;UIoptions!$S$15,PCdb[[#This Row],[SQ_SZ]]&lt;UIoptions!$T$15),1,0),1)</f>
        <v>0</v>
      </c>
      <c r="BH116" s="38">
        <f>IF(UIoptions!$N$35=2,IF(AND(PCdb[[#This Row],[ROUND_D]]&gt;UIoptions!$S$15,PCdb[[#This Row],[ROUND_D]]&lt;UIoptions!$T$15),1,0),1)</f>
        <v>1</v>
      </c>
      <c r="BI116" s="38">
        <f>IF(UIoptions!$N$75&lt;&gt;1,1,IF(AND(PCdb[[#This Row],[FL]]&gt;UIoptions!$S$16,PCdb[[#This Row],[FL]]&lt;UIoptions!$T$16),1,0))</f>
        <v>0</v>
      </c>
      <c r="BJ116" s="38" t="e">
        <f>IF(OR(UIoptions!$Q$18=PCdb[[#This Row],[THRU_SCREW]],UIoptions!$Q$18="NA"),1,0)</f>
        <v>#N/A</v>
      </c>
      <c r="BK116" s="38">
        <f>IF(OR(UIoptions!$P$19=PCdb[[#This Row],[THREAD_SZ]],UIoptions!$P$19="NA"),1,0)</f>
        <v>1</v>
      </c>
      <c r="BL116" s="38">
        <f>IF(UIoptions!$N$75=1,1,IF(AND(PCdb[[#This Row],[THREAD_L]]&gt;UIoptions!$S$17,PCdb[[#This Row],[THREAD_L]]&lt;UIoptions!$T$17),1,0))</f>
        <v>1</v>
      </c>
      <c r="BM116" s="38" t="e">
        <f>IF(SUM(PCdb[[#This Row],[BDhit]:[THREAD_Lhit]])=11,1,0)</f>
        <v>#N/A</v>
      </c>
      <c r="BN11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65504920NA80NANAM584</v>
      </c>
      <c r="BO116" s="38" t="e">
        <f>SUM(PCdb[[#This Row],[BDhit]:[THREAD_Lhit]])</f>
        <v>#N/A</v>
      </c>
    </row>
    <row r="117" spans="1:67" x14ac:dyDescent="0.25">
      <c r="A117" s="7">
        <v>112</v>
      </c>
      <c r="B117" s="93">
        <v>70</v>
      </c>
      <c r="C117" s="93">
        <v>60</v>
      </c>
      <c r="D117" s="93">
        <v>4</v>
      </c>
      <c r="E117" s="93">
        <v>11</v>
      </c>
      <c r="F117" s="93">
        <v>23</v>
      </c>
      <c r="G117" s="93" t="s">
        <v>87</v>
      </c>
      <c r="H117" s="93">
        <v>95</v>
      </c>
      <c r="I117" s="93" t="s">
        <v>87</v>
      </c>
      <c r="J117" s="93" t="s">
        <v>87</v>
      </c>
      <c r="K117" s="93" t="s">
        <v>45</v>
      </c>
      <c r="L117" s="93">
        <v>15</v>
      </c>
      <c r="M117" s="93">
        <v>4</v>
      </c>
      <c r="N117" s="38">
        <v>6</v>
      </c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>
        <f>IF(AND(PCdb[[#This Row],[BCD]]&gt;UIoptions!$S$10,PCdb[[#This Row],[BCD]]&lt;UIoptions!$T$10),1,0)</f>
        <v>0</v>
      </c>
      <c r="BC117" s="38">
        <f>IF(AND(PCdb[[#This Row],[PD]]&gt;UIoptions!$S$11,PCdb[[#This Row],[PD]]&lt;UIoptions!$T$11),1,0)</f>
        <v>1</v>
      </c>
      <c r="BD117" s="38">
        <f>IF(AND(UIoptions!$P$14&lt;=PCdb[[#This Row],[PL (MAX)]],UIoptions!$P$14&gt;UIoptions!$S$14),1,0)</f>
        <v>1</v>
      </c>
      <c r="BE117" s="38">
        <f>IF(AND(PCdb[[#This Row],[SD]]&gt;UIoptions!$S$12,PCdb[[#This Row],[SD]]&lt;UIoptions!$T$12),1,0)</f>
        <v>1</v>
      </c>
      <c r="BF117" s="38">
        <f>IF(AND(PCdb[[#This Row],[SL]]&gt;UIoptions!$S$13,PCdb[[#This Row],[SL]]&lt;UIoptions!$T$13),1,0)</f>
        <v>1</v>
      </c>
      <c r="BG117" s="38">
        <f>IF(UIoptions!$N$35=1,IF(AND(PCdb[[#This Row],[SQ_SZ]]&gt;UIoptions!$S$15,PCdb[[#This Row],[SQ_SZ]]&lt;UIoptions!$T$15),1,0),1)</f>
        <v>0</v>
      </c>
      <c r="BH117" s="38">
        <f>IF(UIoptions!$N$35=2,IF(AND(PCdb[[#This Row],[ROUND_D]]&gt;UIoptions!$S$15,PCdb[[#This Row],[ROUND_D]]&lt;UIoptions!$T$15),1,0),1)</f>
        <v>1</v>
      </c>
      <c r="BI117" s="38">
        <f>IF(UIoptions!$N$75&lt;&gt;1,1,IF(AND(PCdb[[#This Row],[FL]]&gt;UIoptions!$S$16,PCdb[[#This Row],[FL]]&lt;UIoptions!$T$16),1,0))</f>
        <v>0</v>
      </c>
      <c r="BJ117" s="38" t="e">
        <f>IF(OR(UIoptions!$Q$18=PCdb[[#This Row],[THRU_SCREW]],UIoptions!$Q$18="NA"),1,0)</f>
        <v>#N/A</v>
      </c>
      <c r="BK117" s="38">
        <f>IF(OR(UIoptions!$P$19=PCdb[[#This Row],[THREAD_SZ]],UIoptions!$P$19="NA"),1,0)</f>
        <v>1</v>
      </c>
      <c r="BL117" s="38">
        <f>IF(UIoptions!$N$75=1,1,IF(AND(PCdb[[#This Row],[THREAD_L]]&gt;UIoptions!$S$17,PCdb[[#This Row],[THREAD_L]]&lt;UIoptions!$T$17),1,0))</f>
        <v>1</v>
      </c>
      <c r="BM117" s="38" t="e">
        <f>IF(SUM(PCdb[[#This Row],[BDhit]:[THREAD_Lhit]])=11,1,0)</f>
        <v>#N/A</v>
      </c>
      <c r="BN11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706041123NA95NANAM5154</v>
      </c>
      <c r="BO117" s="38" t="e">
        <f>SUM(PCdb[[#This Row],[BDhit]:[THREAD_Lhit]])</f>
        <v>#N/A</v>
      </c>
    </row>
    <row r="118" spans="1:67" x14ac:dyDescent="0.25">
      <c r="A118" s="7">
        <v>113</v>
      </c>
      <c r="B118" s="93">
        <v>90</v>
      </c>
      <c r="C118" s="93">
        <v>70</v>
      </c>
      <c r="D118" s="93">
        <v>4</v>
      </c>
      <c r="E118" s="93">
        <v>16</v>
      </c>
      <c r="F118" s="93">
        <v>40</v>
      </c>
      <c r="G118" s="93">
        <v>80</v>
      </c>
      <c r="H118" s="93" t="s">
        <v>87</v>
      </c>
      <c r="I118" s="93">
        <v>11</v>
      </c>
      <c r="J118" s="93" t="s">
        <v>49</v>
      </c>
      <c r="K118" s="93" t="s">
        <v>87</v>
      </c>
      <c r="L118" s="93" t="s">
        <v>87</v>
      </c>
      <c r="M118" s="93">
        <v>4</v>
      </c>
      <c r="N118" s="38" t="s">
        <v>49</v>
      </c>
      <c r="O118" s="38" t="s">
        <v>87</v>
      </c>
      <c r="P118" s="38" t="s">
        <v>87</v>
      </c>
      <c r="Q118" s="38" t="s">
        <v>87</v>
      </c>
      <c r="R118" s="38" t="s">
        <v>87</v>
      </c>
      <c r="S118" s="38" t="s">
        <v>87</v>
      </c>
      <c r="T118" s="38" t="s">
        <v>87</v>
      </c>
      <c r="U118" s="38" t="s">
        <v>87</v>
      </c>
      <c r="V118" s="38" t="s">
        <v>87</v>
      </c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 t="s">
        <v>87</v>
      </c>
      <c r="AK118" s="38" t="s">
        <v>87</v>
      </c>
      <c r="AL118" s="38" t="s">
        <v>87</v>
      </c>
      <c r="AM118" s="38" t="s">
        <v>87</v>
      </c>
      <c r="AN118" s="38" t="s">
        <v>87</v>
      </c>
      <c r="AO118" s="38" t="s">
        <v>87</v>
      </c>
      <c r="AP118" s="38" t="s">
        <v>87</v>
      </c>
      <c r="AQ118" s="38" t="s">
        <v>87</v>
      </c>
      <c r="AR118" s="38" t="s">
        <v>87</v>
      </c>
      <c r="AS118" s="38" t="s">
        <v>87</v>
      </c>
      <c r="AT118" s="38" t="s">
        <v>87</v>
      </c>
      <c r="AU118" s="38" t="s">
        <v>87</v>
      </c>
      <c r="AV118" s="38">
        <v>39</v>
      </c>
      <c r="AW118" s="38">
        <v>0</v>
      </c>
      <c r="AX118" s="38" t="s">
        <v>130</v>
      </c>
      <c r="AY118" s="38" t="s">
        <v>177</v>
      </c>
      <c r="AZ118" s="38">
        <v>45</v>
      </c>
      <c r="BA118" s="38">
        <v>90</v>
      </c>
      <c r="BB118" s="38">
        <f>IF(AND(PCdb[[#This Row],[BCD]]&gt;UIoptions!$S$10,PCdb[[#This Row],[BCD]]&lt;UIoptions!$T$10),1,0)</f>
        <v>0</v>
      </c>
      <c r="BC118" s="38">
        <f>IF(AND(PCdb[[#This Row],[PD]]&gt;UIoptions!$S$11,PCdb[[#This Row],[PD]]&lt;UIoptions!$T$11),1,0)</f>
        <v>0</v>
      </c>
      <c r="BD118" s="38">
        <f>IF(AND(UIoptions!$P$14&lt;=PCdb[[#This Row],[PL (MAX)]],UIoptions!$P$14&gt;UIoptions!$S$14),1,0)</f>
        <v>1</v>
      </c>
      <c r="BE118" s="38">
        <f>IF(AND(PCdb[[#This Row],[SD]]&gt;UIoptions!$S$12,PCdb[[#This Row],[SD]]&lt;UIoptions!$T$12),1,0)</f>
        <v>0</v>
      </c>
      <c r="BF118" s="38">
        <f>IF(AND(PCdb[[#This Row],[SL]]&gt;UIoptions!$S$13,PCdb[[#This Row],[SL]]&lt;UIoptions!$T$13),1,0)</f>
        <v>0</v>
      </c>
      <c r="BG118" s="38">
        <f>IF(UIoptions!$N$35=1,IF(AND(PCdb[[#This Row],[SQ_SZ]]&gt;UIoptions!$S$15,PCdb[[#This Row],[SQ_SZ]]&lt;UIoptions!$T$15),1,0),1)</f>
        <v>0</v>
      </c>
      <c r="BH118" s="38">
        <f>IF(UIoptions!$N$35=2,IF(AND(PCdb[[#This Row],[ROUND_D]]&gt;UIoptions!$S$15,PCdb[[#This Row],[ROUND_D]]&lt;UIoptions!$T$15),1,0),1)</f>
        <v>1</v>
      </c>
      <c r="BI118" s="38">
        <f>IF(UIoptions!$N$75&lt;&gt;1,1,IF(AND(PCdb[[#This Row],[FL]]&gt;UIoptions!$S$16,PCdb[[#This Row],[FL]]&lt;UIoptions!$T$16),1,0))</f>
        <v>0</v>
      </c>
      <c r="BJ118" s="38" t="e">
        <f>IF(OR(UIoptions!$Q$18=PCdb[[#This Row],[THRU_SCREW]],UIoptions!$Q$18="NA"),1,0)</f>
        <v>#N/A</v>
      </c>
      <c r="BK118" s="38">
        <f>IF(OR(UIoptions!$P$19=PCdb[[#This Row],[THREAD_SZ]],UIoptions!$P$19="NA"),1,0)</f>
        <v>1</v>
      </c>
      <c r="BL118" s="38">
        <f>IF(UIoptions!$N$75=1,1,IF(AND(PCdb[[#This Row],[THREAD_L]]&gt;UIoptions!$S$17,PCdb[[#This Row],[THREAD_L]]&lt;UIoptions!$T$17),1,0))</f>
        <v>1</v>
      </c>
      <c r="BM118" s="38" t="e">
        <f>IF(SUM(PCdb[[#This Row],[BDhit]:[THREAD_Lhit]])=11,1,0)</f>
        <v>#N/A</v>
      </c>
      <c r="BN11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90704164080NA11M6NANA4</v>
      </c>
      <c r="BO118" s="38" t="e">
        <f>SUM(PCdb[[#This Row],[BDhit]:[THREAD_Lhit]])</f>
        <v>#N/A</v>
      </c>
    </row>
    <row r="119" spans="1:67" x14ac:dyDescent="0.25">
      <c r="A119" s="7">
        <v>114</v>
      </c>
      <c r="B119" s="93">
        <v>98.3</v>
      </c>
      <c r="C119" s="93">
        <v>73</v>
      </c>
      <c r="D119" s="93">
        <v>4</v>
      </c>
      <c r="E119" s="93">
        <v>14</v>
      </c>
      <c r="F119" s="93">
        <v>37</v>
      </c>
      <c r="G119" s="93">
        <v>86</v>
      </c>
      <c r="H119" s="93" t="s">
        <v>87</v>
      </c>
      <c r="I119" s="93">
        <v>10</v>
      </c>
      <c r="J119" s="93" t="s">
        <v>49</v>
      </c>
      <c r="K119" s="93" t="s">
        <v>87</v>
      </c>
      <c r="L119" s="93" t="s">
        <v>87</v>
      </c>
      <c r="M119" s="93">
        <v>4</v>
      </c>
      <c r="N119" s="38" t="s">
        <v>49</v>
      </c>
      <c r="O119" s="38" t="s">
        <v>87</v>
      </c>
      <c r="P119" s="38" t="s">
        <v>87</v>
      </c>
      <c r="Q119" s="38" t="s">
        <v>87</v>
      </c>
      <c r="R119" s="38" t="s">
        <v>87</v>
      </c>
      <c r="S119" s="38" t="s">
        <v>87</v>
      </c>
      <c r="T119" s="38" t="s">
        <v>87</v>
      </c>
      <c r="U119" s="38" t="s">
        <v>87</v>
      </c>
      <c r="V119" s="38">
        <v>45.2</v>
      </c>
      <c r="W119" s="38">
        <v>38</v>
      </c>
      <c r="X119" s="38">
        <v>0</v>
      </c>
      <c r="Y119" s="38" t="s">
        <v>130</v>
      </c>
      <c r="Z119" s="38" t="s">
        <v>172</v>
      </c>
      <c r="AA119" s="38">
        <v>45</v>
      </c>
      <c r="AB119" s="38">
        <v>90</v>
      </c>
      <c r="AC119" s="38"/>
      <c r="AD119" s="38"/>
      <c r="AE119" s="38"/>
      <c r="AF119" s="38"/>
      <c r="AG119" s="38"/>
      <c r="AH119" s="38"/>
      <c r="AI119" s="38"/>
      <c r="AJ119" s="38" t="s">
        <v>87</v>
      </c>
      <c r="AK119" s="38" t="s">
        <v>87</v>
      </c>
      <c r="AL119" s="38" t="s">
        <v>87</v>
      </c>
      <c r="AM119" s="38" t="s">
        <v>87</v>
      </c>
      <c r="AN119" s="38" t="s">
        <v>87</v>
      </c>
      <c r="AO119" s="38" t="s">
        <v>87</v>
      </c>
      <c r="AP119" s="38" t="s">
        <v>87</v>
      </c>
      <c r="AQ119" s="38" t="s">
        <v>87</v>
      </c>
      <c r="AR119" s="38" t="s">
        <v>87</v>
      </c>
      <c r="AS119" s="38" t="s">
        <v>87</v>
      </c>
      <c r="AT119" s="38" t="s">
        <v>87</v>
      </c>
      <c r="AU119" s="38" t="s">
        <v>87</v>
      </c>
      <c r="AV119" s="38"/>
      <c r="AW119" s="38"/>
      <c r="AX119" s="38"/>
      <c r="AY119" s="38"/>
      <c r="AZ119" s="38"/>
      <c r="BA119" s="38"/>
      <c r="BB119" s="38">
        <f>IF(AND(PCdb[[#This Row],[BCD]]&gt;UIoptions!$S$10,PCdb[[#This Row],[BCD]]&lt;UIoptions!$T$10),1,0)</f>
        <v>0</v>
      </c>
      <c r="BC119" s="38">
        <f>IF(AND(PCdb[[#This Row],[PD]]&gt;UIoptions!$S$11,PCdb[[#This Row],[PD]]&lt;UIoptions!$T$11),1,0)</f>
        <v>0</v>
      </c>
      <c r="BD119" s="38">
        <f>IF(AND(UIoptions!$P$14&lt;=PCdb[[#This Row],[PL (MAX)]],UIoptions!$P$14&gt;UIoptions!$S$14),1,0)</f>
        <v>1</v>
      </c>
      <c r="BE119" s="38">
        <f>IF(AND(PCdb[[#This Row],[SD]]&gt;UIoptions!$S$12,PCdb[[#This Row],[SD]]&lt;UIoptions!$T$12),1,0)</f>
        <v>0</v>
      </c>
      <c r="BF119" s="38">
        <f>IF(AND(PCdb[[#This Row],[SL]]&gt;UIoptions!$S$13,PCdb[[#This Row],[SL]]&lt;UIoptions!$T$13),1,0)</f>
        <v>0</v>
      </c>
      <c r="BG119" s="38">
        <f>IF(UIoptions!$N$35=1,IF(AND(PCdb[[#This Row],[SQ_SZ]]&gt;UIoptions!$S$15,PCdb[[#This Row],[SQ_SZ]]&lt;UIoptions!$T$15),1,0),1)</f>
        <v>0</v>
      </c>
      <c r="BH119" s="38">
        <f>IF(UIoptions!$N$35=2,IF(AND(PCdb[[#This Row],[ROUND_D]]&gt;UIoptions!$S$15,PCdb[[#This Row],[ROUND_D]]&lt;UIoptions!$T$15),1,0),1)</f>
        <v>1</v>
      </c>
      <c r="BI119" s="38">
        <f>IF(UIoptions!$N$75&lt;&gt;1,1,IF(AND(PCdb[[#This Row],[FL]]&gt;UIoptions!$S$16,PCdb[[#This Row],[FL]]&lt;UIoptions!$T$16),1,0))</f>
        <v>0</v>
      </c>
      <c r="BJ119" s="38" t="e">
        <f>IF(OR(UIoptions!$Q$18=PCdb[[#This Row],[THRU_SCREW]],UIoptions!$Q$18="NA"),1,0)</f>
        <v>#N/A</v>
      </c>
      <c r="BK119" s="38">
        <f>IF(OR(UIoptions!$P$19=PCdb[[#This Row],[THREAD_SZ]],UIoptions!$P$19="NA"),1,0)</f>
        <v>1</v>
      </c>
      <c r="BL119" s="38">
        <f>IF(UIoptions!$N$75=1,1,IF(AND(PCdb[[#This Row],[THREAD_L]]&gt;UIoptions!$S$17,PCdb[[#This Row],[THREAD_L]]&lt;UIoptions!$T$17),1,0))</f>
        <v>1</v>
      </c>
      <c r="BM119" s="38" t="e">
        <f>IF(SUM(PCdb[[#This Row],[BDhit]:[THREAD_Lhit]])=11,1,0)</f>
        <v>#N/A</v>
      </c>
      <c r="BN11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98.3734143786NA10M6NANA4</v>
      </c>
      <c r="BO119" s="38" t="e">
        <f>SUM(PCdb[[#This Row],[BDhit]:[THREAD_Lhit]])</f>
        <v>#N/A</v>
      </c>
    </row>
    <row r="120" spans="1:67" x14ac:dyDescent="0.25">
      <c r="A120" s="7">
        <v>115</v>
      </c>
      <c r="B120" s="93">
        <v>66.7</v>
      </c>
      <c r="C120" s="93">
        <v>38.1</v>
      </c>
      <c r="D120" s="93">
        <v>4</v>
      </c>
      <c r="E120" s="93">
        <v>6.35</v>
      </c>
      <c r="F120" s="93">
        <v>20.6</v>
      </c>
      <c r="G120" s="93">
        <v>59.1</v>
      </c>
      <c r="H120" s="93" t="s">
        <v>87</v>
      </c>
      <c r="I120" s="93">
        <v>4.8</v>
      </c>
      <c r="J120" s="93" t="s">
        <v>7</v>
      </c>
      <c r="K120" s="93" t="s">
        <v>87</v>
      </c>
      <c r="L120" s="93" t="s">
        <v>87</v>
      </c>
      <c r="M120" s="93">
        <v>4</v>
      </c>
      <c r="N120" s="38" t="s">
        <v>45</v>
      </c>
      <c r="O120" s="38">
        <v>38.700000000000003</v>
      </c>
      <c r="P120" s="38">
        <v>25</v>
      </c>
      <c r="Q120" s="38">
        <v>0</v>
      </c>
      <c r="R120" s="38" t="s">
        <v>130</v>
      </c>
      <c r="S120" s="38" t="s">
        <v>172</v>
      </c>
      <c r="T120" s="38">
        <v>45</v>
      </c>
      <c r="U120" s="38">
        <v>90</v>
      </c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>
        <f>IF(AND(PCdb[[#This Row],[BCD]]&gt;UIoptions!$S$10,PCdb[[#This Row],[BCD]]&lt;UIoptions!$T$10),1,0)</f>
        <v>0</v>
      </c>
      <c r="BC120" s="38">
        <f>IF(AND(PCdb[[#This Row],[PD]]&gt;UIoptions!$S$11,PCdb[[#This Row],[PD]]&lt;UIoptions!$T$11),1,0)</f>
        <v>0</v>
      </c>
      <c r="BD120" s="38">
        <f>IF(AND(UIoptions!$P$14&lt;=PCdb[[#This Row],[PL (MAX)]],UIoptions!$P$14&gt;UIoptions!$S$14),1,0)</f>
        <v>1</v>
      </c>
      <c r="BE120" s="38">
        <f>IF(AND(PCdb[[#This Row],[SD]]&gt;UIoptions!$S$12,PCdb[[#This Row],[SD]]&lt;UIoptions!$T$12),1,0)</f>
        <v>0</v>
      </c>
      <c r="BF120" s="38">
        <f>IF(AND(PCdb[[#This Row],[SL]]&gt;UIoptions!$S$13,PCdb[[#This Row],[SL]]&lt;UIoptions!$T$13),1,0)</f>
        <v>0</v>
      </c>
      <c r="BG120" s="38">
        <f>IF(UIoptions!$N$35=1,IF(AND(PCdb[[#This Row],[SQ_SZ]]&gt;UIoptions!$S$15,PCdb[[#This Row],[SQ_SZ]]&lt;UIoptions!$T$15),1,0),1)</f>
        <v>0</v>
      </c>
      <c r="BH120" s="38">
        <f>IF(UIoptions!$N$35=2,IF(AND(PCdb[[#This Row],[ROUND_D]]&gt;UIoptions!$S$15,PCdb[[#This Row],[ROUND_D]]&lt;UIoptions!$T$15),1,0),1)</f>
        <v>1</v>
      </c>
      <c r="BI120" s="38">
        <f>IF(UIoptions!$N$75&lt;&gt;1,1,IF(AND(PCdb[[#This Row],[FL]]&gt;UIoptions!$S$16,PCdb[[#This Row],[FL]]&lt;UIoptions!$T$16),1,0))</f>
        <v>0</v>
      </c>
      <c r="BJ120" s="38" t="e">
        <f>IF(OR(UIoptions!$Q$18=PCdb[[#This Row],[THRU_SCREW]],UIoptions!$Q$18="NA"),1,0)</f>
        <v>#N/A</v>
      </c>
      <c r="BK120" s="38">
        <f>IF(OR(UIoptions!$P$19=PCdb[[#This Row],[THREAD_SZ]],UIoptions!$P$19="NA"),1,0)</f>
        <v>1</v>
      </c>
      <c r="BL120" s="38">
        <f>IF(UIoptions!$N$75=1,1,IF(AND(PCdb[[#This Row],[THREAD_L]]&gt;UIoptions!$S$17,PCdb[[#This Row],[THREAD_L]]&lt;UIoptions!$T$17),1,0))</f>
        <v>1</v>
      </c>
      <c r="BM120" s="38" t="e">
        <f>IF(SUM(PCdb[[#This Row],[BDhit]:[THREAD_Lhit]])=11,1,0)</f>
        <v>#N/A</v>
      </c>
      <c r="BN12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66.738.146.3520.659.1NA4.8M4NANA4</v>
      </c>
      <c r="BO120" s="38" t="e">
        <f>SUM(PCdb[[#This Row],[BDhit]:[THREAD_Lhit]])</f>
        <v>#N/A</v>
      </c>
    </row>
    <row r="121" spans="1:67" x14ac:dyDescent="0.25">
      <c r="A121" s="7">
        <v>116</v>
      </c>
      <c r="B121" s="93">
        <v>34</v>
      </c>
      <c r="C121" s="93">
        <v>26</v>
      </c>
      <c r="D121" s="93">
        <v>4</v>
      </c>
      <c r="E121" s="93">
        <v>10</v>
      </c>
      <c r="F121" s="93">
        <v>26</v>
      </c>
      <c r="G121" s="93" t="s">
        <v>87</v>
      </c>
      <c r="H121" s="93">
        <v>44</v>
      </c>
      <c r="I121" s="93" t="s">
        <v>87</v>
      </c>
      <c r="J121" s="93" t="s">
        <v>87</v>
      </c>
      <c r="K121" s="93" t="s">
        <v>7</v>
      </c>
      <c r="L121" s="93">
        <v>9</v>
      </c>
      <c r="M121" s="93">
        <v>4</v>
      </c>
      <c r="N121" s="38">
        <v>5</v>
      </c>
      <c r="O121" s="25">
        <v>38.700000000000003</v>
      </c>
      <c r="P121" s="38" t="s">
        <v>87</v>
      </c>
      <c r="Q121" s="38" t="s">
        <v>87</v>
      </c>
      <c r="R121" s="38" t="s">
        <v>130</v>
      </c>
      <c r="S121" s="38" t="s">
        <v>279</v>
      </c>
      <c r="T121" s="38">
        <v>45</v>
      </c>
      <c r="U121" s="38">
        <v>90</v>
      </c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 t="s">
        <v>87</v>
      </c>
      <c r="AK121" s="38" t="s">
        <v>87</v>
      </c>
      <c r="AL121" s="38" t="s">
        <v>130</v>
      </c>
      <c r="AM121" s="38" t="s">
        <v>281</v>
      </c>
      <c r="AN121" s="38">
        <v>45</v>
      </c>
      <c r="AO121" s="38">
        <v>90</v>
      </c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>
        <f>IF(AND(PCdb[[#This Row],[BCD]]&gt;UIoptions!$S$10,PCdb[[#This Row],[BCD]]&lt;UIoptions!$T$10),1,0)</f>
        <v>0</v>
      </c>
      <c r="BC121" s="38">
        <f>IF(AND(PCdb[[#This Row],[PD]]&gt;UIoptions!$S$11,PCdb[[#This Row],[PD]]&lt;UIoptions!$T$11),1,0)</f>
        <v>0</v>
      </c>
      <c r="BD121" s="38">
        <f>IF(AND(UIoptions!$P$14&lt;=PCdb[[#This Row],[PL (MAX)]],UIoptions!$P$14&gt;UIoptions!$S$14),1,0)</f>
        <v>1</v>
      </c>
      <c r="BE121" s="38">
        <f>IF(AND(PCdb[[#This Row],[SD]]&gt;UIoptions!$S$12,PCdb[[#This Row],[SD]]&lt;UIoptions!$T$12),1,0)</f>
        <v>0</v>
      </c>
      <c r="BF121" s="38">
        <f>IF(AND(PCdb[[#This Row],[SL]]&gt;UIoptions!$S$13,PCdb[[#This Row],[SL]]&lt;UIoptions!$T$13),1,0)</f>
        <v>0</v>
      </c>
      <c r="BG121" s="38">
        <f>IF(UIoptions!$N$35=1,IF(AND(PCdb[[#This Row],[SQ_SZ]]&gt;UIoptions!$S$15,PCdb[[#This Row],[SQ_SZ]]&lt;UIoptions!$T$15),1,0),1)</f>
        <v>0</v>
      </c>
      <c r="BH121" s="38">
        <f>IF(UIoptions!$N$35=2,IF(AND(PCdb[[#This Row],[ROUND_D]]&gt;UIoptions!$S$15,PCdb[[#This Row],[ROUND_D]]&lt;UIoptions!$T$15),1,0),1)</f>
        <v>1</v>
      </c>
      <c r="BI121" s="38">
        <f>IF(UIoptions!$N$75&lt;&gt;1,1,IF(AND(PCdb[[#This Row],[FL]]&gt;UIoptions!$S$16,PCdb[[#This Row],[FL]]&lt;UIoptions!$T$16),1,0))</f>
        <v>0</v>
      </c>
      <c r="BJ121" s="38" t="e">
        <f>IF(OR(UIoptions!$Q$18=PCdb[[#This Row],[THRU_SCREW]],UIoptions!$Q$18="NA"),1,0)</f>
        <v>#N/A</v>
      </c>
      <c r="BK121" s="38">
        <f>IF(OR(UIoptions!$P$19=PCdb[[#This Row],[THREAD_SZ]],UIoptions!$P$19="NA"),1,0)</f>
        <v>1</v>
      </c>
      <c r="BL121" s="38">
        <f>IF(UIoptions!$N$75=1,1,IF(AND(PCdb[[#This Row],[THREAD_L]]&gt;UIoptions!$S$17,PCdb[[#This Row],[THREAD_L]]&lt;UIoptions!$T$17),1,0))</f>
        <v>1</v>
      </c>
      <c r="BM121" s="38" t="e">
        <f>IF(SUM(PCdb[[#This Row],[BDhit]:[THREAD_Lhit]])=11,1,0)</f>
        <v>#N/A</v>
      </c>
      <c r="BN12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342641026NA44NANAM494</v>
      </c>
      <c r="BO121" s="38" t="e">
        <f>SUM(PCdb[[#This Row],[BDhit]:[THREAD_Lhit]])</f>
        <v>#N/A</v>
      </c>
    </row>
    <row r="122" spans="1:67" x14ac:dyDescent="0.25">
      <c r="A122" s="7">
        <v>117</v>
      </c>
      <c r="B122" s="93">
        <v>35</v>
      </c>
      <c r="C122" s="93">
        <v>23</v>
      </c>
      <c r="D122" s="93">
        <v>4</v>
      </c>
      <c r="E122" s="93">
        <v>8</v>
      </c>
      <c r="F122" s="93">
        <v>22</v>
      </c>
      <c r="G122" s="93" t="s">
        <v>87</v>
      </c>
      <c r="H122" s="93">
        <v>44.6</v>
      </c>
      <c r="I122" s="93" t="s">
        <v>87</v>
      </c>
      <c r="J122" s="93" t="s">
        <v>87</v>
      </c>
      <c r="K122" s="93" t="s">
        <v>7</v>
      </c>
      <c r="L122" s="93">
        <v>6</v>
      </c>
      <c r="M122" s="93">
        <v>4</v>
      </c>
      <c r="N122" s="38">
        <v>5</v>
      </c>
      <c r="O122" s="38">
        <v>36.200000000000003</v>
      </c>
      <c r="P122" s="38" t="s">
        <v>87</v>
      </c>
      <c r="Q122" s="38" t="s">
        <v>87</v>
      </c>
      <c r="R122" s="38" t="s">
        <v>130</v>
      </c>
      <c r="S122" s="38" t="s">
        <v>279</v>
      </c>
      <c r="T122" s="38">
        <v>45</v>
      </c>
      <c r="U122" s="38">
        <v>90</v>
      </c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>
        <f>IF(AND(PCdb[[#This Row],[BCD]]&gt;UIoptions!$S$10,PCdb[[#This Row],[BCD]]&lt;UIoptions!$T$10),1,0)</f>
        <v>0</v>
      </c>
      <c r="BC122" s="38">
        <f>IF(AND(PCdb[[#This Row],[PD]]&gt;UIoptions!$S$11,PCdb[[#This Row],[PD]]&lt;UIoptions!$T$11),1,0)</f>
        <v>0</v>
      </c>
      <c r="BD122" s="38">
        <f>IF(AND(UIoptions!$P$14&lt;=PCdb[[#This Row],[PL (MAX)]],UIoptions!$P$14&gt;UIoptions!$S$14),1,0)</f>
        <v>1</v>
      </c>
      <c r="BE122" s="38">
        <f>IF(AND(PCdb[[#This Row],[SD]]&gt;UIoptions!$S$12,PCdb[[#This Row],[SD]]&lt;UIoptions!$T$12),1,0)</f>
        <v>0</v>
      </c>
      <c r="BF122" s="38">
        <f>IF(AND(PCdb[[#This Row],[SL]]&gt;UIoptions!$S$13,PCdb[[#This Row],[SL]]&lt;UIoptions!$T$13),1,0)</f>
        <v>0</v>
      </c>
      <c r="BG122" s="38">
        <f>IF(UIoptions!$N$35=1,IF(AND(PCdb[[#This Row],[SQ_SZ]]&gt;UIoptions!$S$15,PCdb[[#This Row],[SQ_SZ]]&lt;UIoptions!$T$15),1,0),1)</f>
        <v>0</v>
      </c>
      <c r="BH122" s="38">
        <f>IF(UIoptions!$N$35=2,IF(AND(PCdb[[#This Row],[ROUND_D]]&gt;UIoptions!$S$15,PCdb[[#This Row],[ROUND_D]]&lt;UIoptions!$T$15),1,0),1)</f>
        <v>1</v>
      </c>
      <c r="BI122" s="38">
        <f>IF(UIoptions!$N$75&lt;&gt;1,1,IF(AND(PCdb[[#This Row],[FL]]&gt;UIoptions!$S$16,PCdb[[#This Row],[FL]]&lt;UIoptions!$T$16),1,0))</f>
        <v>0</v>
      </c>
      <c r="BJ122" s="38" t="e">
        <f>IF(OR(UIoptions!$Q$18=PCdb[[#This Row],[THRU_SCREW]],UIoptions!$Q$18="NA"),1,0)</f>
        <v>#N/A</v>
      </c>
      <c r="BK122" s="38">
        <f>IF(OR(UIoptions!$P$19=PCdb[[#This Row],[THREAD_SZ]],UIoptions!$P$19="NA"),1,0)</f>
        <v>1</v>
      </c>
      <c r="BL122" s="38">
        <f>IF(UIoptions!$N$75=1,1,IF(AND(PCdb[[#This Row],[THREAD_L]]&gt;UIoptions!$S$17,PCdb[[#This Row],[THREAD_L]]&lt;UIoptions!$T$17),1,0))</f>
        <v>1</v>
      </c>
      <c r="BM122" s="38" t="e">
        <f>IF(SUM(PCdb[[#This Row],[BDhit]:[THREAD_Lhit]])=11,1,0)</f>
        <v>#N/A</v>
      </c>
      <c r="BN12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35234822NA44.6NANAM464</v>
      </c>
      <c r="BO122" s="38" t="e">
        <f>SUM(PCdb[[#This Row],[BDhit]:[THREAD_Lhit]])</f>
        <v>#N/A</v>
      </c>
    </row>
    <row r="123" spans="1:67" x14ac:dyDescent="0.25">
      <c r="A123" s="7">
        <v>118</v>
      </c>
      <c r="B123" s="93">
        <v>66.5</v>
      </c>
      <c r="C123" s="93">
        <v>38.1</v>
      </c>
      <c r="D123" s="93">
        <v>4</v>
      </c>
      <c r="E123" s="93">
        <v>6.35</v>
      </c>
      <c r="F123" s="93">
        <v>21</v>
      </c>
      <c r="G123" s="93">
        <v>56.5</v>
      </c>
      <c r="H123" s="93" t="s">
        <v>87</v>
      </c>
      <c r="I123" s="93">
        <v>9</v>
      </c>
      <c r="J123" s="93" t="s">
        <v>45</v>
      </c>
      <c r="K123" s="93" t="s">
        <v>87</v>
      </c>
      <c r="L123" s="93" t="s">
        <v>87</v>
      </c>
      <c r="M123" s="93">
        <v>4</v>
      </c>
      <c r="N123" s="93" t="s">
        <v>45</v>
      </c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>
        <v>24</v>
      </c>
      <c r="AQ123" s="38">
        <v>0</v>
      </c>
      <c r="AR123" s="38" t="s">
        <v>130</v>
      </c>
      <c r="AS123" s="38" t="s">
        <v>176</v>
      </c>
      <c r="AT123" s="38">
        <v>45</v>
      </c>
      <c r="AU123" s="38">
        <v>90</v>
      </c>
      <c r="AV123" s="38"/>
      <c r="AW123" s="38"/>
      <c r="AX123" s="38"/>
      <c r="AY123" s="38"/>
      <c r="AZ123" s="38"/>
      <c r="BA123" s="38"/>
      <c r="BB123" s="38">
        <f>IF(AND(PCdb[[#This Row],[BCD]]&gt;UIoptions!$S$10,PCdb[[#This Row],[BCD]]&lt;UIoptions!$T$10),1,0)</f>
        <v>0</v>
      </c>
      <c r="BC123" s="38">
        <f>IF(AND(PCdb[[#This Row],[PD]]&gt;UIoptions!$S$11,PCdb[[#This Row],[PD]]&lt;UIoptions!$T$11),1,0)</f>
        <v>0</v>
      </c>
      <c r="BD123" s="38">
        <f>IF(AND(UIoptions!$P$14&lt;=PCdb[[#This Row],[PL (MAX)]],UIoptions!$P$14&gt;UIoptions!$S$14),1,0)</f>
        <v>1</v>
      </c>
      <c r="BE123" s="38">
        <f>IF(AND(PCdb[[#This Row],[SD]]&gt;UIoptions!$S$12,PCdb[[#This Row],[SD]]&lt;UIoptions!$T$12),1,0)</f>
        <v>0</v>
      </c>
      <c r="BF123" s="38">
        <f>IF(AND(PCdb[[#This Row],[SL]]&gt;UIoptions!$S$13,PCdb[[#This Row],[SL]]&lt;UIoptions!$T$13),1,0)</f>
        <v>0</v>
      </c>
      <c r="BG123" s="38">
        <f>IF(UIoptions!$N$35=1,IF(AND(PCdb[[#This Row],[SQ_SZ]]&gt;UIoptions!$S$15,PCdb[[#This Row],[SQ_SZ]]&lt;UIoptions!$T$15),1,0),1)</f>
        <v>0</v>
      </c>
      <c r="BH123" s="38">
        <f>IF(UIoptions!$N$35=2,IF(AND(PCdb[[#This Row],[ROUND_D]]&gt;UIoptions!$S$15,PCdb[[#This Row],[ROUND_D]]&lt;UIoptions!$T$15),1,0),1)</f>
        <v>1</v>
      </c>
      <c r="BI123" s="38">
        <f>IF(UIoptions!$N$75&lt;&gt;1,1,IF(AND(PCdb[[#This Row],[FL]]&gt;UIoptions!$S$16,PCdb[[#This Row],[FL]]&lt;UIoptions!$T$16),1,0))</f>
        <v>0</v>
      </c>
      <c r="BJ123" s="38" t="e">
        <f>IF(OR(UIoptions!$Q$18=PCdb[[#This Row],[THRU_SCREW]],UIoptions!$Q$18="NA"),1,0)</f>
        <v>#N/A</v>
      </c>
      <c r="BK123" s="38">
        <f>IF(OR(UIoptions!$P$19=PCdb[[#This Row],[THREAD_SZ]],UIoptions!$P$19="NA"),1,0)</f>
        <v>1</v>
      </c>
      <c r="BL123" s="38">
        <f>IF(UIoptions!$N$75=1,1,IF(AND(PCdb[[#This Row],[THREAD_L]]&gt;UIoptions!$S$17,PCdb[[#This Row],[THREAD_L]]&lt;UIoptions!$T$17),1,0))</f>
        <v>1</v>
      </c>
      <c r="BM123" s="38" t="e">
        <f>IF(SUM(PCdb[[#This Row],[BDhit]:[THREAD_Lhit]])=11,1,0)</f>
        <v>#N/A</v>
      </c>
      <c r="BN12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66.538.146.352156.5NA9M5NANA4</v>
      </c>
      <c r="BO123" s="38" t="e">
        <f>SUM(PCdb[[#This Row],[BDhit]:[THREAD_Lhit]])</f>
        <v>#N/A</v>
      </c>
    </row>
    <row r="124" spans="1:67" x14ac:dyDescent="0.25">
      <c r="A124" s="7">
        <v>119</v>
      </c>
      <c r="B124" s="93">
        <v>75</v>
      </c>
      <c r="C124" s="93">
        <v>60</v>
      </c>
      <c r="D124" s="93">
        <v>4</v>
      </c>
      <c r="E124" s="93">
        <v>11</v>
      </c>
      <c r="F124" s="93">
        <v>23</v>
      </c>
      <c r="G124" s="93">
        <v>60</v>
      </c>
      <c r="H124" s="93" t="s">
        <v>87</v>
      </c>
      <c r="I124" s="93">
        <v>7</v>
      </c>
      <c r="J124" s="93" t="s">
        <v>45</v>
      </c>
      <c r="K124" s="93" t="s">
        <v>87</v>
      </c>
      <c r="L124" s="93" t="s">
        <v>87</v>
      </c>
      <c r="M124" s="93">
        <v>4</v>
      </c>
      <c r="N124" s="38" t="s">
        <v>45</v>
      </c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>
        <v>32</v>
      </c>
      <c r="AQ124" s="38" t="s">
        <v>87</v>
      </c>
      <c r="AR124" s="38" t="s">
        <v>130</v>
      </c>
      <c r="AS124" s="38" t="s">
        <v>177</v>
      </c>
      <c r="AT124" s="38">
        <v>45</v>
      </c>
      <c r="AU124" s="38">
        <v>90</v>
      </c>
      <c r="AV124" s="38"/>
      <c r="AW124" s="38"/>
      <c r="AX124" s="38"/>
      <c r="AY124" s="38"/>
      <c r="AZ124" s="38"/>
      <c r="BA124" s="38"/>
      <c r="BB124" s="38">
        <f>IF(AND(PCdb[[#This Row],[BCD]]&gt;UIoptions!$S$10,PCdb[[#This Row],[BCD]]&lt;UIoptions!$T$10),1,0)</f>
        <v>1</v>
      </c>
      <c r="BC124" s="38">
        <f>IF(AND(PCdb[[#This Row],[PD]]&gt;UIoptions!$S$11,PCdb[[#This Row],[PD]]&lt;UIoptions!$T$11),1,0)</f>
        <v>1</v>
      </c>
      <c r="BD124" s="38">
        <f>IF(AND(UIoptions!$P$14&lt;=PCdb[[#This Row],[PL (MAX)]],UIoptions!$P$14&gt;UIoptions!$S$14),1,0)</f>
        <v>1</v>
      </c>
      <c r="BE124" s="38">
        <f>IF(AND(PCdb[[#This Row],[SD]]&gt;UIoptions!$S$12,PCdb[[#This Row],[SD]]&lt;UIoptions!$T$12),1,0)</f>
        <v>1</v>
      </c>
      <c r="BF124" s="38">
        <f>IF(AND(PCdb[[#This Row],[SL]]&gt;UIoptions!$S$13,PCdb[[#This Row],[SL]]&lt;UIoptions!$T$13),1,0)</f>
        <v>1</v>
      </c>
      <c r="BG124" s="38">
        <f>IF(UIoptions!$N$35=1,IF(AND(PCdb[[#This Row],[SQ_SZ]]&gt;UIoptions!$S$15,PCdb[[#This Row],[SQ_SZ]]&lt;UIoptions!$T$15),1,0),1)</f>
        <v>0</v>
      </c>
      <c r="BH124" s="38">
        <f>IF(UIoptions!$N$35=2,IF(AND(PCdb[[#This Row],[ROUND_D]]&gt;UIoptions!$S$15,PCdb[[#This Row],[ROUND_D]]&lt;UIoptions!$T$15),1,0),1)</f>
        <v>1</v>
      </c>
      <c r="BI124" s="38">
        <f>IF(UIoptions!$N$75&lt;&gt;1,1,IF(AND(PCdb[[#This Row],[FL]]&gt;UIoptions!$S$16,PCdb[[#This Row],[FL]]&lt;UIoptions!$T$16),1,0))</f>
        <v>0</v>
      </c>
      <c r="BJ124" s="38" t="e">
        <f>IF(OR(UIoptions!$Q$18=PCdb[[#This Row],[THRU_SCREW]],UIoptions!$Q$18="NA"),1,0)</f>
        <v>#N/A</v>
      </c>
      <c r="BK124" s="38">
        <f>IF(OR(UIoptions!$P$19=PCdb[[#This Row],[THREAD_SZ]],UIoptions!$P$19="NA"),1,0)</f>
        <v>1</v>
      </c>
      <c r="BL124" s="38">
        <f>IF(UIoptions!$N$75=1,1,IF(AND(PCdb[[#This Row],[THREAD_L]]&gt;UIoptions!$S$17,PCdb[[#This Row],[THREAD_L]]&lt;UIoptions!$T$17),1,0))</f>
        <v>1</v>
      </c>
      <c r="BM124" s="38" t="e">
        <f>IF(SUM(PCdb[[#This Row],[BDhit]:[THREAD_Lhit]])=11,1,0)</f>
        <v>#N/A</v>
      </c>
      <c r="BN12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75604112360NA7M5NANA4</v>
      </c>
      <c r="BO124" s="38" t="e">
        <f>SUM(PCdb[[#This Row],[BDhit]:[THREAD_Lhit]])</f>
        <v>#N/A</v>
      </c>
    </row>
    <row r="125" spans="1:67" x14ac:dyDescent="0.25">
      <c r="A125" s="167">
        <v>120</v>
      </c>
      <c r="B125" s="166">
        <v>62</v>
      </c>
      <c r="C125" s="166">
        <v>52</v>
      </c>
      <c r="D125" s="166">
        <v>11</v>
      </c>
      <c r="E125" s="166">
        <v>16</v>
      </c>
      <c r="F125" s="166">
        <v>36.5</v>
      </c>
      <c r="G125" s="166" t="s">
        <v>87</v>
      </c>
      <c r="H125" s="166">
        <v>70</v>
      </c>
      <c r="I125" s="166" t="s">
        <v>87</v>
      </c>
      <c r="J125" s="166" t="s">
        <v>87</v>
      </c>
      <c r="K125" s="166" t="s">
        <v>45</v>
      </c>
      <c r="L125" s="166">
        <v>10</v>
      </c>
      <c r="M125" s="166">
        <v>4</v>
      </c>
      <c r="N125" s="168">
        <v>6</v>
      </c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>
        <v>48.7</v>
      </c>
      <c r="AD125" s="38" t="s">
        <v>87</v>
      </c>
      <c r="AE125" s="38" t="s">
        <v>87</v>
      </c>
      <c r="AF125" s="38" t="s">
        <v>130</v>
      </c>
      <c r="AG125" s="38" t="s">
        <v>678</v>
      </c>
      <c r="AH125" s="38">
        <v>0</v>
      </c>
      <c r="AI125" s="38">
        <v>90</v>
      </c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>
        <f>IF(AND(PCdb[[#This Row],[BCD]]&gt;UIoptions!$S$10,PCdb[[#This Row],[BCD]]&lt;UIoptions!$T$10),1,0)</f>
        <v>0</v>
      </c>
      <c r="BC125" s="38">
        <f>IF(AND(PCdb[[#This Row],[PD]]&gt;UIoptions!$S$11,PCdb[[#This Row],[PD]]&lt;UIoptions!$T$11),1,0)</f>
        <v>0</v>
      </c>
      <c r="BD125" s="38">
        <f>IF(AND(UIoptions!$P$14&lt;=PCdb[[#This Row],[PL (MAX)]],UIoptions!$P$14&gt;UIoptions!$S$14),1,0)</f>
        <v>1</v>
      </c>
      <c r="BE125" s="38">
        <f>IF(AND(PCdb[[#This Row],[SD]]&gt;UIoptions!$S$12,PCdb[[#This Row],[SD]]&lt;UIoptions!$T$12),1,0)</f>
        <v>0</v>
      </c>
      <c r="BF125" s="38">
        <f>IF(AND(PCdb[[#This Row],[SL]]&gt;UIoptions!$S$13,PCdb[[#This Row],[SL]]&lt;UIoptions!$T$13),1,0)</f>
        <v>0</v>
      </c>
      <c r="BG125" s="38">
        <f>IF(UIoptions!$N$35=1,IF(AND(PCdb[[#This Row],[SQ_SZ]]&gt;UIoptions!$S$15,PCdb[[#This Row],[SQ_SZ]]&lt;UIoptions!$T$15),1,0),1)</f>
        <v>0</v>
      </c>
      <c r="BH125" s="38">
        <f>IF(UIoptions!$N$35=2,IF(AND(PCdb[[#This Row],[ROUND_D]]&gt;UIoptions!$S$15,PCdb[[#This Row],[ROUND_D]]&lt;UIoptions!$T$15),1,0),1)</f>
        <v>1</v>
      </c>
      <c r="BI125" s="38">
        <f>IF(UIoptions!$N$75&lt;&gt;1,1,IF(AND(PCdb[[#This Row],[FL]]&gt;UIoptions!$S$16,PCdb[[#This Row],[FL]]&lt;UIoptions!$T$16),1,0))</f>
        <v>0</v>
      </c>
      <c r="BJ125" s="38" t="e">
        <f>IF(OR(UIoptions!$Q$18=PCdb[[#This Row],[THRU_SCREW]],UIoptions!$Q$18="NA"),1,0)</f>
        <v>#N/A</v>
      </c>
      <c r="BK125" s="38">
        <f>IF(OR(UIoptions!$P$19=PCdb[[#This Row],[THREAD_SZ]],UIoptions!$P$19="NA"),1,0)</f>
        <v>1</v>
      </c>
      <c r="BL125" s="38">
        <f>IF(UIoptions!$N$75=1,1,IF(AND(PCdb[[#This Row],[THREAD_L]]&gt;UIoptions!$S$17,PCdb[[#This Row],[THREAD_L]]&lt;UIoptions!$T$17),1,0))</f>
        <v>1</v>
      </c>
      <c r="BM125" s="38" t="e">
        <f>IF(SUM(PCdb[[#This Row],[BDhit]:[THREAD_Lhit]])=11,1,0)</f>
        <v>#N/A</v>
      </c>
      <c r="BN12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6252111636.5NA70NANAM5104</v>
      </c>
      <c r="BO125" s="38" t="e">
        <f>SUM(PCdb[[#This Row],[BDhit]:[THREAD_Lhit]])</f>
        <v>#N/A</v>
      </c>
    </row>
    <row r="126" spans="1:67" x14ac:dyDescent="0.25">
      <c r="A126" s="7">
        <v>121</v>
      </c>
      <c r="B126" s="93">
        <v>66.7</v>
      </c>
      <c r="C126" s="93">
        <v>38.1</v>
      </c>
      <c r="D126" s="93">
        <v>4</v>
      </c>
      <c r="E126" s="93">
        <v>6.35</v>
      </c>
      <c r="F126" s="93">
        <v>20.6</v>
      </c>
      <c r="G126" s="93">
        <v>56.4</v>
      </c>
      <c r="H126" s="93" t="s">
        <v>87</v>
      </c>
      <c r="I126" s="93">
        <v>5</v>
      </c>
      <c r="J126" s="93" t="s">
        <v>7</v>
      </c>
      <c r="K126" s="93" t="s">
        <v>87</v>
      </c>
      <c r="L126" s="93" t="s">
        <v>87</v>
      </c>
      <c r="M126" s="93">
        <v>4</v>
      </c>
      <c r="N126" s="38" t="s">
        <v>7</v>
      </c>
      <c r="O126" s="38">
        <v>38.700000000000003</v>
      </c>
      <c r="P126" s="38">
        <v>22</v>
      </c>
      <c r="Q126" s="38">
        <v>0</v>
      </c>
      <c r="R126" s="38" t="s">
        <v>130</v>
      </c>
      <c r="S126" s="38" t="s">
        <v>172</v>
      </c>
      <c r="T126" s="38">
        <v>45</v>
      </c>
      <c r="U126" s="38">
        <v>90</v>
      </c>
      <c r="V126" s="38">
        <v>45.2</v>
      </c>
      <c r="W126" s="38">
        <v>26</v>
      </c>
      <c r="X126" s="38">
        <v>0</v>
      </c>
      <c r="Y126" s="38" t="s">
        <v>130</v>
      </c>
      <c r="Z126" s="38" t="s">
        <v>172</v>
      </c>
      <c r="AA126" s="38">
        <v>45</v>
      </c>
      <c r="AB126" s="38">
        <v>90</v>
      </c>
      <c r="AC126" s="38"/>
      <c r="AD126" s="38"/>
      <c r="AE126" s="38"/>
      <c r="AF126" s="38"/>
      <c r="AG126" s="38"/>
      <c r="AH126" s="38"/>
      <c r="AI126" s="38"/>
      <c r="AJ126" s="38">
        <v>22</v>
      </c>
      <c r="AK126" s="38" t="s">
        <v>87</v>
      </c>
      <c r="AL126" s="38" t="s">
        <v>130</v>
      </c>
      <c r="AM126" s="38" t="s">
        <v>177</v>
      </c>
      <c r="AN126" s="38">
        <v>45</v>
      </c>
      <c r="AO126" s="38">
        <v>90</v>
      </c>
      <c r="AP126" s="38">
        <v>22</v>
      </c>
      <c r="AQ126" s="38">
        <v>0</v>
      </c>
      <c r="AR126" s="38" t="s">
        <v>130</v>
      </c>
      <c r="AS126" s="38" t="s">
        <v>176</v>
      </c>
      <c r="AT126" s="38">
        <v>45</v>
      </c>
      <c r="AU126" s="38">
        <v>90</v>
      </c>
      <c r="AV126" s="38"/>
      <c r="AW126" s="38"/>
      <c r="AX126" s="38"/>
      <c r="AY126" s="38"/>
      <c r="AZ126" s="38"/>
      <c r="BA126" s="38"/>
      <c r="BB126" s="38">
        <f>IF(AND(PCdb[[#This Row],[BCD]]&gt;UIoptions!$S$10,PCdb[[#This Row],[BCD]]&lt;UIoptions!$T$10),1,0)</f>
        <v>0</v>
      </c>
      <c r="BC126" s="38">
        <f>IF(AND(PCdb[[#This Row],[PD]]&gt;UIoptions!$S$11,PCdb[[#This Row],[PD]]&lt;UIoptions!$T$11),1,0)</f>
        <v>0</v>
      </c>
      <c r="BD126" s="38">
        <f>IF(AND(UIoptions!$P$14&lt;=PCdb[[#This Row],[PL (MAX)]],UIoptions!$P$14&gt;UIoptions!$S$14),1,0)</f>
        <v>1</v>
      </c>
      <c r="BE126" s="38">
        <f>IF(AND(PCdb[[#This Row],[SD]]&gt;UIoptions!$S$12,PCdb[[#This Row],[SD]]&lt;UIoptions!$T$12),1,0)</f>
        <v>0</v>
      </c>
      <c r="BF126" s="38">
        <f>IF(AND(PCdb[[#This Row],[SL]]&gt;UIoptions!$S$13,PCdb[[#This Row],[SL]]&lt;UIoptions!$T$13),1,0)</f>
        <v>0</v>
      </c>
      <c r="BG126" s="38">
        <f>IF(UIoptions!$N$35=1,IF(AND(PCdb[[#This Row],[SQ_SZ]]&gt;UIoptions!$S$15,PCdb[[#This Row],[SQ_SZ]]&lt;UIoptions!$T$15),1,0),1)</f>
        <v>0</v>
      </c>
      <c r="BH126" s="38">
        <f>IF(UIoptions!$N$35=2,IF(AND(PCdb[[#This Row],[ROUND_D]]&gt;UIoptions!$S$15,PCdb[[#This Row],[ROUND_D]]&lt;UIoptions!$T$15),1,0),1)</f>
        <v>1</v>
      </c>
      <c r="BI126" s="38">
        <f>IF(UIoptions!$N$75&lt;&gt;1,1,IF(AND(PCdb[[#This Row],[FL]]&gt;UIoptions!$S$16,PCdb[[#This Row],[FL]]&lt;UIoptions!$T$16),1,0))</f>
        <v>0</v>
      </c>
      <c r="BJ126" s="38" t="e">
        <f>IF(OR(UIoptions!$Q$18=PCdb[[#This Row],[THRU_SCREW]],UIoptions!$Q$18="NA"),1,0)</f>
        <v>#N/A</v>
      </c>
      <c r="BK126" s="38">
        <f>IF(OR(UIoptions!$P$19=PCdb[[#This Row],[THREAD_SZ]],UIoptions!$P$19="NA"),1,0)</f>
        <v>1</v>
      </c>
      <c r="BL126" s="38">
        <f>IF(UIoptions!$N$75=1,1,IF(AND(PCdb[[#This Row],[THREAD_L]]&gt;UIoptions!$S$17,PCdb[[#This Row],[THREAD_L]]&lt;UIoptions!$T$17),1,0))</f>
        <v>1</v>
      </c>
      <c r="BM126" s="38" t="e">
        <f>IF(SUM(PCdb[[#This Row],[BDhit]:[THREAD_Lhit]])=11,1,0)</f>
        <v>#N/A</v>
      </c>
      <c r="BN12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66.738.146.3520.656.4NA5M4NANA4</v>
      </c>
      <c r="BO126" s="38" t="e">
        <f>SUM(PCdb[[#This Row],[BDhit]:[THREAD_Lhit]])</f>
        <v>#N/A</v>
      </c>
    </row>
    <row r="127" spans="1:67" x14ac:dyDescent="0.25">
      <c r="A127" s="7">
        <v>122</v>
      </c>
      <c r="B127" s="93">
        <v>66.7</v>
      </c>
      <c r="C127" s="93">
        <v>38.1</v>
      </c>
      <c r="D127" s="93">
        <v>4</v>
      </c>
      <c r="E127" s="93">
        <v>12.7</v>
      </c>
      <c r="F127" s="93">
        <v>25.4</v>
      </c>
      <c r="G127" s="93">
        <v>57.2</v>
      </c>
      <c r="H127" s="93" t="s">
        <v>87</v>
      </c>
      <c r="I127" s="93">
        <v>6.4</v>
      </c>
      <c r="J127" s="93" t="s">
        <v>7</v>
      </c>
      <c r="K127" s="93" t="s">
        <v>87</v>
      </c>
      <c r="L127" s="93" t="s">
        <v>87</v>
      </c>
      <c r="M127" s="93">
        <v>4</v>
      </c>
      <c r="N127" s="38" t="s">
        <v>7</v>
      </c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>
        <v>23</v>
      </c>
      <c r="AQ127" s="38">
        <v>0</v>
      </c>
      <c r="AR127" s="38" t="s">
        <v>130</v>
      </c>
      <c r="AS127" s="38" t="s">
        <v>176</v>
      </c>
      <c r="AT127" s="38">
        <v>45</v>
      </c>
      <c r="AU127" s="38">
        <v>90</v>
      </c>
      <c r="AV127" s="38"/>
      <c r="AW127" s="38"/>
      <c r="AX127" s="38"/>
      <c r="AY127" s="38"/>
      <c r="AZ127" s="38"/>
      <c r="BA127" s="38"/>
      <c r="BB127" s="38">
        <f>IF(AND(PCdb[[#This Row],[BCD]]&gt;UIoptions!$S$10,PCdb[[#This Row],[BCD]]&lt;UIoptions!$T$10),1,0)</f>
        <v>0</v>
      </c>
      <c r="BC127" s="38">
        <f>IF(AND(PCdb[[#This Row],[PD]]&gt;UIoptions!$S$11,PCdb[[#This Row],[PD]]&lt;UIoptions!$T$11),1,0)</f>
        <v>0</v>
      </c>
      <c r="BD127" s="38">
        <f>IF(AND(UIoptions!$P$14&lt;=PCdb[[#This Row],[PL (MAX)]],UIoptions!$P$14&gt;UIoptions!$S$14),1,0)</f>
        <v>1</v>
      </c>
      <c r="BE127" s="38">
        <f>IF(AND(PCdb[[#This Row],[SD]]&gt;UIoptions!$S$12,PCdb[[#This Row],[SD]]&lt;UIoptions!$T$12),1,0)</f>
        <v>0</v>
      </c>
      <c r="BF127" s="38">
        <f>IF(AND(PCdb[[#This Row],[SL]]&gt;UIoptions!$S$13,PCdb[[#This Row],[SL]]&lt;UIoptions!$T$13),1,0)</f>
        <v>0</v>
      </c>
      <c r="BG127" s="38">
        <f>IF(UIoptions!$N$35=1,IF(AND(PCdb[[#This Row],[SQ_SZ]]&gt;UIoptions!$S$15,PCdb[[#This Row],[SQ_SZ]]&lt;UIoptions!$T$15),1,0),1)</f>
        <v>0</v>
      </c>
      <c r="BH127" s="38">
        <f>IF(UIoptions!$N$35=2,IF(AND(PCdb[[#This Row],[ROUND_D]]&gt;UIoptions!$S$15,PCdb[[#This Row],[ROUND_D]]&lt;UIoptions!$T$15),1,0),1)</f>
        <v>1</v>
      </c>
      <c r="BI127" s="38">
        <f>IF(UIoptions!$N$75&lt;&gt;1,1,IF(AND(PCdb[[#This Row],[FL]]&gt;UIoptions!$S$16,PCdb[[#This Row],[FL]]&lt;UIoptions!$T$16),1,0))</f>
        <v>0</v>
      </c>
      <c r="BJ127" s="38" t="e">
        <f>IF(OR(UIoptions!$Q$18=PCdb[[#This Row],[THRU_SCREW]],UIoptions!$Q$18="NA"),1,0)</f>
        <v>#N/A</v>
      </c>
      <c r="BK127" s="38">
        <f>IF(OR(UIoptions!$P$19=PCdb[[#This Row],[THREAD_SZ]],UIoptions!$P$19="NA"),1,0)</f>
        <v>1</v>
      </c>
      <c r="BL127" s="38">
        <f>IF(UIoptions!$N$75=1,1,IF(AND(PCdb[[#This Row],[THREAD_L]]&gt;UIoptions!$S$17,PCdb[[#This Row],[THREAD_L]]&lt;UIoptions!$T$17),1,0))</f>
        <v>1</v>
      </c>
      <c r="BM127" s="38" t="e">
        <f>IF(SUM(PCdb[[#This Row],[BDhit]:[THREAD_Lhit]])=11,1,0)</f>
        <v>#N/A</v>
      </c>
      <c r="BN12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66.738.1412.725.457.2NA6.4M4NANA4</v>
      </c>
      <c r="BO127" s="38" t="e">
        <f>SUM(PCdb[[#This Row],[BDhit]:[THREAD_Lhit]])</f>
        <v>#N/A</v>
      </c>
    </row>
    <row r="128" spans="1:67" x14ac:dyDescent="0.25">
      <c r="A128" s="7">
        <v>123</v>
      </c>
      <c r="B128" s="93">
        <v>98.4</v>
      </c>
      <c r="C128" s="93">
        <v>73</v>
      </c>
      <c r="D128" s="93">
        <v>4</v>
      </c>
      <c r="E128" s="93">
        <v>14</v>
      </c>
      <c r="F128" s="93">
        <v>37.1</v>
      </c>
      <c r="G128" s="93" t="s">
        <v>87</v>
      </c>
      <c r="H128" s="93">
        <v>91.2</v>
      </c>
      <c r="I128" s="93">
        <v>10</v>
      </c>
      <c r="J128" s="93" t="s">
        <v>49</v>
      </c>
      <c r="K128" s="93" t="s">
        <v>87</v>
      </c>
      <c r="L128" s="93" t="s">
        <v>87</v>
      </c>
      <c r="M128" s="93">
        <v>4</v>
      </c>
      <c r="N128" s="38" t="s">
        <v>49</v>
      </c>
      <c r="O128" s="38" t="s">
        <v>87</v>
      </c>
      <c r="P128" s="38" t="s">
        <v>87</v>
      </c>
      <c r="Q128" s="38" t="s">
        <v>87</v>
      </c>
      <c r="R128" s="38" t="s">
        <v>87</v>
      </c>
      <c r="S128" s="38" t="s">
        <v>87</v>
      </c>
      <c r="T128" s="38" t="s">
        <v>87</v>
      </c>
      <c r="U128" s="38" t="s">
        <v>87</v>
      </c>
      <c r="V128" s="38">
        <v>45.2</v>
      </c>
      <c r="W128" s="38">
        <v>38</v>
      </c>
      <c r="X128" s="38">
        <v>0</v>
      </c>
      <c r="Y128" s="38" t="s">
        <v>130</v>
      </c>
      <c r="Z128" s="38" t="s">
        <v>172</v>
      </c>
      <c r="AA128" s="38">
        <v>45</v>
      </c>
      <c r="AB128" s="38">
        <v>90</v>
      </c>
      <c r="AC128" s="38"/>
      <c r="AD128" s="38"/>
      <c r="AE128" s="38"/>
      <c r="AF128" s="38"/>
      <c r="AG128" s="38"/>
      <c r="AH128" s="38"/>
      <c r="AI128" s="38"/>
      <c r="AJ128" s="38" t="s">
        <v>87</v>
      </c>
      <c r="AK128" s="38" t="s">
        <v>87</v>
      </c>
      <c r="AL128" s="38" t="s">
        <v>87</v>
      </c>
      <c r="AM128" s="38" t="s">
        <v>87</v>
      </c>
      <c r="AN128" s="38" t="s">
        <v>87</v>
      </c>
      <c r="AO128" s="38" t="s">
        <v>87</v>
      </c>
      <c r="AP128" s="38" t="s">
        <v>87</v>
      </c>
      <c r="AQ128" s="38" t="s">
        <v>87</v>
      </c>
      <c r="AR128" s="38" t="s">
        <v>87</v>
      </c>
      <c r="AS128" s="38" t="s">
        <v>87</v>
      </c>
      <c r="AT128" s="38" t="s">
        <v>87</v>
      </c>
      <c r="AU128" s="38" t="s">
        <v>87</v>
      </c>
      <c r="AV128" s="38"/>
      <c r="AW128" s="38"/>
      <c r="AX128" s="38"/>
      <c r="AY128" s="38"/>
      <c r="AZ128" s="38"/>
      <c r="BA128" s="38"/>
      <c r="BB128" s="38">
        <f>IF(AND(PCdb[[#This Row],[BCD]]&gt;UIoptions!$S$10,PCdb[[#This Row],[BCD]]&lt;UIoptions!$T$10),1,0)</f>
        <v>0</v>
      </c>
      <c r="BC128" s="38">
        <f>IF(AND(PCdb[[#This Row],[PD]]&gt;UIoptions!$S$11,PCdb[[#This Row],[PD]]&lt;UIoptions!$T$11),1,0)</f>
        <v>0</v>
      </c>
      <c r="BD128" s="38">
        <f>IF(AND(UIoptions!$P$14&lt;=PCdb[[#This Row],[PL (MAX)]],UIoptions!$P$14&gt;UIoptions!$S$14),1,0)</f>
        <v>1</v>
      </c>
      <c r="BE128" s="38">
        <f>IF(AND(PCdb[[#This Row],[SD]]&gt;UIoptions!$S$12,PCdb[[#This Row],[SD]]&lt;UIoptions!$T$12),1,0)</f>
        <v>0</v>
      </c>
      <c r="BF128" s="38">
        <f>IF(AND(PCdb[[#This Row],[SL]]&gt;UIoptions!$S$13,PCdb[[#This Row],[SL]]&lt;UIoptions!$T$13),1,0)</f>
        <v>0</v>
      </c>
      <c r="BG128" s="38">
        <f>IF(UIoptions!$N$35=1,IF(AND(PCdb[[#This Row],[SQ_SZ]]&gt;UIoptions!$S$15,PCdb[[#This Row],[SQ_SZ]]&lt;UIoptions!$T$15),1,0),1)</f>
        <v>0</v>
      </c>
      <c r="BH128" s="38">
        <f>IF(UIoptions!$N$35=2,IF(AND(PCdb[[#This Row],[ROUND_D]]&gt;UIoptions!$S$15,PCdb[[#This Row],[ROUND_D]]&lt;UIoptions!$T$15),1,0),1)</f>
        <v>1</v>
      </c>
      <c r="BI128" s="38">
        <f>IF(UIoptions!$N$75&lt;&gt;1,1,IF(AND(PCdb[[#This Row],[FL]]&gt;UIoptions!$S$16,PCdb[[#This Row],[FL]]&lt;UIoptions!$T$16),1,0))</f>
        <v>0</v>
      </c>
      <c r="BJ128" s="38" t="e">
        <f>IF(OR(UIoptions!$Q$18=PCdb[[#This Row],[THRU_SCREW]],UIoptions!$Q$18="NA"),1,0)</f>
        <v>#N/A</v>
      </c>
      <c r="BK128" s="38">
        <f>IF(OR(UIoptions!$P$19=PCdb[[#This Row],[THREAD_SZ]],UIoptions!$P$19="NA"),1,0)</f>
        <v>1</v>
      </c>
      <c r="BL128" s="38">
        <f>IF(UIoptions!$N$75=1,1,IF(AND(PCdb[[#This Row],[THREAD_L]]&gt;UIoptions!$S$17,PCdb[[#This Row],[THREAD_L]]&lt;UIoptions!$T$17),1,0))</f>
        <v>1</v>
      </c>
      <c r="BM128" s="38" t="e">
        <f>IF(SUM(PCdb[[#This Row],[BDhit]:[THREAD_Lhit]])=11,1,0)</f>
        <v>#N/A</v>
      </c>
      <c r="BN12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98.47341437.1NA91.210M6NANA4</v>
      </c>
      <c r="BO128" s="38" t="e">
        <f>SUM(PCdb[[#This Row],[BDhit]:[THREAD_Lhit]])</f>
        <v>#N/A</v>
      </c>
    </row>
    <row r="129" spans="1:67" x14ac:dyDescent="0.25">
      <c r="A129" s="173">
        <v>124</v>
      </c>
      <c r="B129" s="171">
        <v>70.7</v>
      </c>
      <c r="C129" s="171">
        <v>36</v>
      </c>
      <c r="D129" s="171">
        <v>1.5</v>
      </c>
      <c r="E129" s="171">
        <v>8</v>
      </c>
      <c r="F129" s="171">
        <v>20.6</v>
      </c>
      <c r="G129" s="171">
        <v>60</v>
      </c>
      <c r="H129" s="171" t="s">
        <v>87</v>
      </c>
      <c r="I129" s="171">
        <v>6.3</v>
      </c>
      <c r="J129" s="171" t="s">
        <v>7</v>
      </c>
      <c r="K129" s="171" t="s">
        <v>87</v>
      </c>
      <c r="L129" s="171" t="s">
        <v>87</v>
      </c>
      <c r="M129" s="171">
        <v>4</v>
      </c>
      <c r="N129" s="172" t="s">
        <v>7</v>
      </c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>
        <v>23</v>
      </c>
      <c r="AK129" s="38">
        <v>0</v>
      </c>
      <c r="AL129" s="38" t="s">
        <v>130</v>
      </c>
      <c r="AM129" s="38" t="s">
        <v>177</v>
      </c>
      <c r="AN129" s="38">
        <v>45</v>
      </c>
      <c r="AO129" s="38">
        <v>90</v>
      </c>
      <c r="AP129" s="38">
        <v>22</v>
      </c>
      <c r="AQ129" s="38" t="s">
        <v>87</v>
      </c>
      <c r="AR129" s="38" t="s">
        <v>130</v>
      </c>
      <c r="AS129" s="38" t="s">
        <v>176</v>
      </c>
      <c r="AT129" s="38">
        <v>45</v>
      </c>
      <c r="AU129" s="38">
        <v>90</v>
      </c>
      <c r="AV129" s="38"/>
      <c r="AW129" s="38"/>
      <c r="AX129" s="38"/>
      <c r="AY129" s="38"/>
      <c r="AZ129" s="38"/>
      <c r="BA129" s="38"/>
      <c r="BB129" s="38">
        <f>IF(AND(PCdb[[#This Row],[BCD]]&gt;UIoptions!$S$10,PCdb[[#This Row],[BCD]]&lt;UIoptions!$T$10),1,0)</f>
        <v>0</v>
      </c>
      <c r="BC129" s="38">
        <f>IF(AND(PCdb[[#This Row],[PD]]&gt;UIoptions!$S$11,PCdb[[#This Row],[PD]]&lt;UIoptions!$T$11),1,0)</f>
        <v>0</v>
      </c>
      <c r="BD129" s="38">
        <f>IF(AND(UIoptions!$P$14&lt;=PCdb[[#This Row],[PL (MAX)]],UIoptions!$P$14&gt;UIoptions!$S$14),1,0)</f>
        <v>0</v>
      </c>
      <c r="BE129" s="38">
        <f>IF(AND(PCdb[[#This Row],[SD]]&gt;UIoptions!$S$12,PCdb[[#This Row],[SD]]&lt;UIoptions!$T$12),1,0)</f>
        <v>0</v>
      </c>
      <c r="BF129" s="38">
        <f>IF(AND(PCdb[[#This Row],[SL]]&gt;UIoptions!$S$13,PCdb[[#This Row],[SL]]&lt;UIoptions!$T$13),1,0)</f>
        <v>0</v>
      </c>
      <c r="BG129" s="38">
        <f>IF(UIoptions!$N$35=1,IF(AND(PCdb[[#This Row],[SQ_SZ]]&gt;UIoptions!$S$15,PCdb[[#This Row],[SQ_SZ]]&lt;UIoptions!$T$15),1,0),1)</f>
        <v>0</v>
      </c>
      <c r="BH129" s="38">
        <f>IF(UIoptions!$N$35=2,IF(AND(PCdb[[#This Row],[ROUND_D]]&gt;UIoptions!$S$15,PCdb[[#This Row],[ROUND_D]]&lt;UIoptions!$T$15),1,0),1)</f>
        <v>1</v>
      </c>
      <c r="BI129" s="38">
        <f>IF(UIoptions!$N$75&lt;&gt;1,1,IF(AND(PCdb[[#This Row],[FL]]&gt;UIoptions!$S$16,PCdb[[#This Row],[FL]]&lt;UIoptions!$T$16),1,0))</f>
        <v>0</v>
      </c>
      <c r="BJ129" s="38" t="e">
        <f>IF(OR(UIoptions!$Q$18=PCdb[[#This Row],[THRU_SCREW]],UIoptions!$Q$18="NA"),1,0)</f>
        <v>#N/A</v>
      </c>
      <c r="BK129" s="38">
        <f>IF(OR(UIoptions!$P$19=PCdb[[#This Row],[THREAD_SZ]],UIoptions!$P$19="NA"),1,0)</f>
        <v>1</v>
      </c>
      <c r="BL129" s="38">
        <f>IF(UIoptions!$N$75=1,1,IF(AND(PCdb[[#This Row],[THREAD_L]]&gt;UIoptions!$S$17,PCdb[[#This Row],[THREAD_L]]&lt;UIoptions!$T$17),1,0))</f>
        <v>1</v>
      </c>
      <c r="BM129" s="38" t="e">
        <f>IF(SUM(PCdb[[#This Row],[BDhit]:[THREAD_Lhit]])=11,1,0)</f>
        <v>#N/A</v>
      </c>
      <c r="BN12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70.7361.5820.660NA6.3M4NANA4</v>
      </c>
      <c r="BO129" s="38" t="e">
        <f>SUM(PCdb[[#This Row],[BDhit]:[THREAD_Lhit]])</f>
        <v>#N/A</v>
      </c>
    </row>
    <row r="130" spans="1:67" x14ac:dyDescent="0.25">
      <c r="A130" s="173">
        <v>125</v>
      </c>
      <c r="B130" s="171">
        <v>70</v>
      </c>
      <c r="C130" s="171">
        <v>50</v>
      </c>
      <c r="D130" s="171">
        <v>7</v>
      </c>
      <c r="E130" s="171">
        <v>16</v>
      </c>
      <c r="F130" s="171">
        <v>37</v>
      </c>
      <c r="G130" s="171">
        <v>60</v>
      </c>
      <c r="H130" s="171" t="s">
        <v>87</v>
      </c>
      <c r="I130" s="171">
        <v>6</v>
      </c>
      <c r="J130" s="171" t="s">
        <v>45</v>
      </c>
      <c r="K130" s="171" t="s">
        <v>87</v>
      </c>
      <c r="L130" s="171" t="s">
        <v>87</v>
      </c>
      <c r="M130" s="171">
        <v>4</v>
      </c>
      <c r="N130" s="172" t="s">
        <v>45</v>
      </c>
      <c r="O130" s="38"/>
      <c r="P130" s="38"/>
      <c r="Q130" s="38"/>
      <c r="R130" s="38"/>
      <c r="S130" s="38"/>
      <c r="T130" s="38"/>
      <c r="U130" s="38"/>
      <c r="V130" s="25">
        <v>41.7</v>
      </c>
      <c r="W130" s="38" t="s">
        <v>87</v>
      </c>
      <c r="X130" s="38" t="s">
        <v>87</v>
      </c>
      <c r="Y130" s="38" t="s">
        <v>130</v>
      </c>
      <c r="Z130" s="34" t="s">
        <v>659</v>
      </c>
      <c r="AA130" s="38">
        <v>45</v>
      </c>
      <c r="AB130" s="38">
        <v>90</v>
      </c>
      <c r="AC130" s="25">
        <v>45.2</v>
      </c>
      <c r="AD130" s="38" t="s">
        <v>87</v>
      </c>
      <c r="AE130" s="38" t="s">
        <v>87</v>
      </c>
      <c r="AF130" s="38" t="s">
        <v>130</v>
      </c>
      <c r="AG130" s="38" t="s">
        <v>654</v>
      </c>
      <c r="AH130" s="38">
        <v>45</v>
      </c>
      <c r="AI130" s="38">
        <v>90</v>
      </c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 t="s">
        <v>87</v>
      </c>
      <c r="AW130" s="38" t="s">
        <v>87</v>
      </c>
      <c r="AX130" s="38" t="s">
        <v>130</v>
      </c>
      <c r="AY130" s="38" t="s">
        <v>614</v>
      </c>
      <c r="AZ130" s="38">
        <v>45</v>
      </c>
      <c r="BA130" s="38">
        <v>90</v>
      </c>
      <c r="BB130" s="38">
        <f>IF(AND(PCdb[[#This Row],[BCD]]&gt;UIoptions!$S$10,PCdb[[#This Row],[BCD]]&lt;UIoptions!$T$10),1,0)</f>
        <v>0</v>
      </c>
      <c r="BC130" s="38">
        <f>IF(AND(PCdb[[#This Row],[PD]]&gt;UIoptions!$S$11,PCdb[[#This Row],[PD]]&lt;UIoptions!$T$11),1,0)</f>
        <v>0</v>
      </c>
      <c r="BD130" s="38">
        <f>IF(AND(UIoptions!$P$14&lt;=PCdb[[#This Row],[PL (MAX)]],UIoptions!$P$14&gt;UIoptions!$S$14),1,0)</f>
        <v>1</v>
      </c>
      <c r="BE130" s="38">
        <f>IF(AND(PCdb[[#This Row],[SD]]&gt;UIoptions!$S$12,PCdb[[#This Row],[SD]]&lt;UIoptions!$T$12),1,0)</f>
        <v>0</v>
      </c>
      <c r="BF130" s="38">
        <f>IF(AND(PCdb[[#This Row],[SL]]&gt;UIoptions!$S$13,PCdb[[#This Row],[SL]]&lt;UIoptions!$T$13),1,0)</f>
        <v>0</v>
      </c>
      <c r="BG130" s="38">
        <f>IF(UIoptions!$N$35=1,IF(AND(PCdb[[#This Row],[SQ_SZ]]&gt;UIoptions!$S$15,PCdb[[#This Row],[SQ_SZ]]&lt;UIoptions!$T$15),1,0),1)</f>
        <v>0</v>
      </c>
      <c r="BH130" s="38">
        <f>IF(UIoptions!$N$35=2,IF(AND(PCdb[[#This Row],[ROUND_D]]&gt;UIoptions!$S$15,PCdb[[#This Row],[ROUND_D]]&lt;UIoptions!$T$15),1,0),1)</f>
        <v>1</v>
      </c>
      <c r="BI130" s="38">
        <f>IF(UIoptions!$N$75&lt;&gt;1,1,IF(AND(PCdb[[#This Row],[FL]]&gt;UIoptions!$S$16,PCdb[[#This Row],[FL]]&lt;UIoptions!$T$16),1,0))</f>
        <v>0</v>
      </c>
      <c r="BJ130" s="38" t="e">
        <f>IF(OR(UIoptions!$Q$18=PCdb[[#This Row],[THRU_SCREW]],UIoptions!$Q$18="NA"),1,0)</f>
        <v>#N/A</v>
      </c>
      <c r="BK130" s="38">
        <f>IF(OR(UIoptions!$P$19=PCdb[[#This Row],[THREAD_SZ]],UIoptions!$P$19="NA"),1,0)</f>
        <v>1</v>
      </c>
      <c r="BL130" s="38">
        <f>IF(UIoptions!$N$75=1,1,IF(AND(PCdb[[#This Row],[THREAD_L]]&gt;UIoptions!$S$17,PCdb[[#This Row],[THREAD_L]]&lt;UIoptions!$T$17),1,0))</f>
        <v>1</v>
      </c>
      <c r="BM130" s="38" t="e">
        <f>IF(SUM(PCdb[[#This Row],[BDhit]:[THREAD_Lhit]])=11,1,0)</f>
        <v>#N/A</v>
      </c>
      <c r="BN13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70507163760NA6M5NANA4</v>
      </c>
      <c r="BO130" s="38" t="e">
        <f>SUM(PCdb[[#This Row],[BDhit]:[THREAD_Lhit]])</f>
        <v>#N/A</v>
      </c>
    </row>
    <row r="131" spans="1:67" x14ac:dyDescent="0.25">
      <c r="A131" s="173">
        <v>126</v>
      </c>
      <c r="B131" s="171">
        <v>98.4</v>
      </c>
      <c r="C131" s="171">
        <v>73.02</v>
      </c>
      <c r="D131" s="171">
        <v>4</v>
      </c>
      <c r="E131" s="171">
        <v>15.875</v>
      </c>
      <c r="F131" s="171">
        <v>31.8</v>
      </c>
      <c r="G131" s="171">
        <v>86</v>
      </c>
      <c r="H131" s="171" t="s">
        <v>87</v>
      </c>
      <c r="I131" s="171">
        <v>8.5</v>
      </c>
      <c r="J131" s="171" t="s">
        <v>45</v>
      </c>
      <c r="K131" s="171" t="s">
        <v>87</v>
      </c>
      <c r="L131" s="171" t="s">
        <v>87</v>
      </c>
      <c r="M131" s="171">
        <v>4</v>
      </c>
      <c r="N131" s="172" t="s">
        <v>45</v>
      </c>
      <c r="O131" s="38" t="s">
        <v>87</v>
      </c>
      <c r="P131" s="38" t="s">
        <v>87</v>
      </c>
      <c r="Q131" s="38" t="s">
        <v>87</v>
      </c>
      <c r="R131" s="38" t="s">
        <v>87</v>
      </c>
      <c r="S131" s="38" t="s">
        <v>87</v>
      </c>
      <c r="T131" s="38" t="s">
        <v>87</v>
      </c>
      <c r="U131" s="38" t="s">
        <v>87</v>
      </c>
      <c r="V131" s="38">
        <v>41.7</v>
      </c>
      <c r="W131" s="38">
        <v>38</v>
      </c>
      <c r="X131" s="38">
        <v>0</v>
      </c>
      <c r="Y131" s="38" t="s">
        <v>130</v>
      </c>
      <c r="Z131" s="38" t="s">
        <v>172</v>
      </c>
      <c r="AA131" s="38">
        <v>45</v>
      </c>
      <c r="AB131" s="38">
        <v>90</v>
      </c>
      <c r="AC131" s="38"/>
      <c r="AD131" s="38"/>
      <c r="AE131" s="38"/>
      <c r="AF131" s="38"/>
      <c r="AG131" s="38"/>
      <c r="AH131" s="38"/>
      <c r="AI131" s="38"/>
      <c r="AJ131" s="38" t="s">
        <v>87</v>
      </c>
      <c r="AK131" s="38" t="s">
        <v>87</v>
      </c>
      <c r="AL131" s="38" t="s">
        <v>87</v>
      </c>
      <c r="AM131" s="38" t="s">
        <v>87</v>
      </c>
      <c r="AN131" s="38" t="s">
        <v>87</v>
      </c>
      <c r="AO131" s="38" t="s">
        <v>87</v>
      </c>
      <c r="AP131" s="38" t="s">
        <v>87</v>
      </c>
      <c r="AQ131" s="38" t="s">
        <v>87</v>
      </c>
      <c r="AR131" s="38" t="s">
        <v>87</v>
      </c>
      <c r="AS131" s="38" t="s">
        <v>87</v>
      </c>
      <c r="AT131" s="38" t="s">
        <v>87</v>
      </c>
      <c r="AU131" s="38" t="s">
        <v>87</v>
      </c>
      <c r="AV131" s="38">
        <v>40</v>
      </c>
      <c r="AW131" s="38">
        <v>0</v>
      </c>
      <c r="AX131" s="38" t="s">
        <v>130</v>
      </c>
      <c r="AY131" s="38" t="s">
        <v>177</v>
      </c>
      <c r="AZ131" s="38">
        <v>45</v>
      </c>
      <c r="BA131" s="38">
        <v>90</v>
      </c>
      <c r="BB131" s="38">
        <f>IF(AND(PCdb[[#This Row],[BCD]]&gt;UIoptions!$S$10,PCdb[[#This Row],[BCD]]&lt;UIoptions!$T$10),1,0)</f>
        <v>0</v>
      </c>
      <c r="BC131" s="38">
        <f>IF(AND(PCdb[[#This Row],[PD]]&gt;UIoptions!$S$11,PCdb[[#This Row],[PD]]&lt;UIoptions!$T$11),1,0)</f>
        <v>0</v>
      </c>
      <c r="BD131" s="38">
        <f>IF(AND(UIoptions!$P$14&lt;=PCdb[[#This Row],[PL (MAX)]],UIoptions!$P$14&gt;UIoptions!$S$14),1,0)</f>
        <v>1</v>
      </c>
      <c r="BE131" s="38">
        <f>IF(AND(PCdb[[#This Row],[SD]]&gt;UIoptions!$S$12,PCdb[[#This Row],[SD]]&lt;UIoptions!$T$12),1,0)</f>
        <v>0</v>
      </c>
      <c r="BF131" s="38">
        <f>IF(AND(PCdb[[#This Row],[SL]]&gt;UIoptions!$S$13,PCdb[[#This Row],[SL]]&lt;UIoptions!$T$13),1,0)</f>
        <v>0</v>
      </c>
      <c r="BG131" s="38">
        <f>IF(UIoptions!$N$35=1,IF(AND(PCdb[[#This Row],[SQ_SZ]]&gt;UIoptions!$S$15,PCdb[[#This Row],[SQ_SZ]]&lt;UIoptions!$T$15),1,0),1)</f>
        <v>0</v>
      </c>
      <c r="BH131" s="38">
        <f>IF(UIoptions!$N$35=2,IF(AND(PCdb[[#This Row],[ROUND_D]]&gt;UIoptions!$S$15,PCdb[[#This Row],[ROUND_D]]&lt;UIoptions!$T$15),1,0),1)</f>
        <v>1</v>
      </c>
      <c r="BI131" s="38">
        <f>IF(UIoptions!$N$75&lt;&gt;1,1,IF(AND(PCdb[[#This Row],[FL]]&gt;UIoptions!$S$16,PCdb[[#This Row],[FL]]&lt;UIoptions!$T$16),1,0))</f>
        <v>0</v>
      </c>
      <c r="BJ131" s="38" t="e">
        <f>IF(OR(UIoptions!$Q$18=PCdb[[#This Row],[THRU_SCREW]],UIoptions!$Q$18="NA"),1,0)</f>
        <v>#N/A</v>
      </c>
      <c r="BK131" s="38">
        <f>IF(OR(UIoptions!$P$19=PCdb[[#This Row],[THREAD_SZ]],UIoptions!$P$19="NA"),1,0)</f>
        <v>1</v>
      </c>
      <c r="BL131" s="38">
        <f>IF(UIoptions!$N$75=1,1,IF(AND(PCdb[[#This Row],[THREAD_L]]&gt;UIoptions!$S$17,PCdb[[#This Row],[THREAD_L]]&lt;UIoptions!$T$17),1,0))</f>
        <v>1</v>
      </c>
      <c r="BM131" s="38" t="e">
        <f>IF(SUM(PCdb[[#This Row],[BDhit]:[THREAD_Lhit]])=11,1,0)</f>
        <v>#N/A</v>
      </c>
      <c r="BN13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98.473.02415.87531.886NA8.5M5NANA4</v>
      </c>
      <c r="BO131" s="38" t="e">
        <f>SUM(PCdb[[#This Row],[BDhit]:[THREAD_Lhit]])</f>
        <v>#N/A</v>
      </c>
    </row>
    <row r="132" spans="1:67" x14ac:dyDescent="0.25">
      <c r="A132" s="173">
        <v>127</v>
      </c>
      <c r="B132" s="171">
        <v>66.7</v>
      </c>
      <c r="C132" s="171">
        <v>38.1</v>
      </c>
      <c r="D132" s="171">
        <v>4</v>
      </c>
      <c r="E132" s="171">
        <v>9.5299999999999994</v>
      </c>
      <c r="F132" s="171">
        <v>25.4</v>
      </c>
      <c r="G132" s="171">
        <v>60</v>
      </c>
      <c r="H132" s="171" t="s">
        <v>87</v>
      </c>
      <c r="I132" s="171">
        <v>6.4</v>
      </c>
      <c r="J132" s="171" t="s">
        <v>7</v>
      </c>
      <c r="K132" s="171" t="s">
        <v>87</v>
      </c>
      <c r="L132" s="171" t="s">
        <v>87</v>
      </c>
      <c r="M132" s="171">
        <v>4</v>
      </c>
      <c r="N132" s="172" t="s">
        <v>7</v>
      </c>
      <c r="O132" s="38"/>
      <c r="P132" s="38"/>
      <c r="Q132" s="38"/>
      <c r="R132" s="38"/>
      <c r="S132" s="38"/>
      <c r="T132" s="38"/>
      <c r="U132" s="38"/>
      <c r="V132" s="25">
        <v>41.7</v>
      </c>
      <c r="W132" s="38">
        <v>26</v>
      </c>
      <c r="X132" s="38" t="s">
        <v>87</v>
      </c>
      <c r="Y132" s="38" t="s">
        <v>130</v>
      </c>
      <c r="Z132" s="38" t="s">
        <v>172</v>
      </c>
      <c r="AA132" s="38">
        <v>45</v>
      </c>
      <c r="AB132" s="38">
        <v>90</v>
      </c>
      <c r="AC132" s="25">
        <v>45.2</v>
      </c>
      <c r="AD132" s="38" t="s">
        <v>87</v>
      </c>
      <c r="AE132" s="38">
        <v>55</v>
      </c>
      <c r="AF132" s="38" t="s">
        <v>130</v>
      </c>
      <c r="AG132" s="38" t="s">
        <v>171</v>
      </c>
      <c r="AH132" s="38">
        <v>45</v>
      </c>
      <c r="AI132" s="38">
        <v>90</v>
      </c>
      <c r="AJ132" s="38">
        <v>24</v>
      </c>
      <c r="AK132" s="38">
        <v>0</v>
      </c>
      <c r="AL132" s="38" t="s">
        <v>130</v>
      </c>
      <c r="AM132" s="38" t="s">
        <v>177</v>
      </c>
      <c r="AN132" s="38">
        <v>45</v>
      </c>
      <c r="AO132" s="38">
        <v>90</v>
      </c>
      <c r="AP132" s="38">
        <v>24</v>
      </c>
      <c r="AQ132" s="38">
        <v>0</v>
      </c>
      <c r="AR132" s="38" t="s">
        <v>130</v>
      </c>
      <c r="AS132" s="38" t="s">
        <v>176</v>
      </c>
      <c r="AT132" s="38">
        <v>45</v>
      </c>
      <c r="AU132" s="38">
        <v>90</v>
      </c>
      <c r="AV132" s="38">
        <v>27</v>
      </c>
      <c r="AW132" s="38" t="s">
        <v>87</v>
      </c>
      <c r="AX132" s="38" t="s">
        <v>130</v>
      </c>
      <c r="AY132" s="38" t="s">
        <v>176</v>
      </c>
      <c r="AZ132" s="38">
        <v>45</v>
      </c>
      <c r="BA132" s="38">
        <v>90</v>
      </c>
      <c r="BB132" s="38">
        <f>IF(AND(PCdb[[#This Row],[BCD]]&gt;UIoptions!$S$10,PCdb[[#This Row],[BCD]]&lt;UIoptions!$T$10),1,0)</f>
        <v>0</v>
      </c>
      <c r="BC132" s="38">
        <f>IF(AND(PCdb[[#This Row],[PD]]&gt;UIoptions!$S$11,PCdb[[#This Row],[PD]]&lt;UIoptions!$T$11),1,0)</f>
        <v>0</v>
      </c>
      <c r="BD132" s="38">
        <f>IF(AND(UIoptions!$P$14&lt;=PCdb[[#This Row],[PL (MAX)]],UIoptions!$P$14&gt;UIoptions!$S$14),1,0)</f>
        <v>1</v>
      </c>
      <c r="BE132" s="38">
        <f>IF(AND(PCdb[[#This Row],[SD]]&gt;UIoptions!$S$12,PCdb[[#This Row],[SD]]&lt;UIoptions!$T$12),1,0)</f>
        <v>0</v>
      </c>
      <c r="BF132" s="38">
        <f>IF(AND(PCdb[[#This Row],[SL]]&gt;UIoptions!$S$13,PCdb[[#This Row],[SL]]&lt;UIoptions!$T$13),1,0)</f>
        <v>0</v>
      </c>
      <c r="BG132" s="38">
        <f>IF(UIoptions!$N$35=1,IF(AND(PCdb[[#This Row],[SQ_SZ]]&gt;UIoptions!$S$15,PCdb[[#This Row],[SQ_SZ]]&lt;UIoptions!$T$15),1,0),1)</f>
        <v>0</v>
      </c>
      <c r="BH132" s="38">
        <f>IF(UIoptions!$N$35=2,IF(AND(PCdb[[#This Row],[ROUND_D]]&gt;UIoptions!$S$15,PCdb[[#This Row],[ROUND_D]]&lt;UIoptions!$T$15),1,0),1)</f>
        <v>1</v>
      </c>
      <c r="BI132" s="38">
        <f>IF(UIoptions!$N$75&lt;&gt;1,1,IF(AND(PCdb[[#This Row],[FL]]&gt;UIoptions!$S$16,PCdb[[#This Row],[FL]]&lt;UIoptions!$T$16),1,0))</f>
        <v>0</v>
      </c>
      <c r="BJ132" s="38" t="e">
        <f>IF(OR(UIoptions!$Q$18=PCdb[[#This Row],[THRU_SCREW]],UIoptions!$Q$18="NA"),1,0)</f>
        <v>#N/A</v>
      </c>
      <c r="BK132" s="38">
        <f>IF(OR(UIoptions!$P$19=PCdb[[#This Row],[THREAD_SZ]],UIoptions!$P$19="NA"),1,0)</f>
        <v>1</v>
      </c>
      <c r="BL132" s="38">
        <f>IF(UIoptions!$N$75=1,1,IF(AND(PCdb[[#This Row],[THREAD_L]]&gt;UIoptions!$S$17,PCdb[[#This Row],[THREAD_L]]&lt;UIoptions!$T$17),1,0))</f>
        <v>1</v>
      </c>
      <c r="BM132" s="38" t="e">
        <f>IF(SUM(PCdb[[#This Row],[BDhit]:[THREAD_Lhit]])=11,1,0)</f>
        <v>#N/A</v>
      </c>
      <c r="BN13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66.738.149.5325.460NA6.4M4NANA4</v>
      </c>
      <c r="BO132" s="38" t="e">
        <f>SUM(PCdb[[#This Row],[BDhit]:[THREAD_Lhit]])</f>
        <v>#N/A</v>
      </c>
    </row>
    <row r="133" spans="1:67" x14ac:dyDescent="0.25">
      <c r="A133" s="173">
        <v>128</v>
      </c>
      <c r="B133" s="171">
        <v>75</v>
      </c>
      <c r="C133" s="171">
        <v>60</v>
      </c>
      <c r="D133" s="171">
        <v>4</v>
      </c>
      <c r="E133" s="171">
        <v>11</v>
      </c>
      <c r="F133" s="171">
        <v>23</v>
      </c>
      <c r="G133" s="171">
        <v>73</v>
      </c>
      <c r="H133" s="171" t="s">
        <v>87</v>
      </c>
      <c r="I133" s="171">
        <v>8</v>
      </c>
      <c r="J133" s="171" t="s">
        <v>45</v>
      </c>
      <c r="K133" s="171" t="s">
        <v>87</v>
      </c>
      <c r="L133" s="171" t="s">
        <v>87</v>
      </c>
      <c r="M133" s="171">
        <v>4</v>
      </c>
      <c r="N133" s="172" t="s">
        <v>45</v>
      </c>
      <c r="O133" s="38"/>
      <c r="P133" s="38"/>
      <c r="Q133" s="38"/>
      <c r="R133" s="38"/>
      <c r="S133" s="38"/>
      <c r="T133" s="38"/>
      <c r="U133" s="38"/>
      <c r="V133" s="38">
        <v>45.2</v>
      </c>
      <c r="W133" s="38">
        <v>32</v>
      </c>
      <c r="X133" s="38">
        <v>0</v>
      </c>
      <c r="Y133" s="38" t="s">
        <v>130</v>
      </c>
      <c r="Z133" s="38" t="s">
        <v>172</v>
      </c>
      <c r="AA133" s="38">
        <v>45</v>
      </c>
      <c r="AB133" s="38">
        <v>90</v>
      </c>
      <c r="AC133" s="25">
        <v>48.7</v>
      </c>
      <c r="AD133" s="38">
        <v>33</v>
      </c>
      <c r="AE133" s="38" t="s">
        <v>87</v>
      </c>
      <c r="AF133" s="38" t="s">
        <v>130</v>
      </c>
      <c r="AG133" s="38" t="s">
        <v>172</v>
      </c>
      <c r="AH133" s="38">
        <v>45</v>
      </c>
      <c r="AI133" s="38">
        <v>90</v>
      </c>
      <c r="AJ133" s="38"/>
      <c r="AK133" s="38"/>
      <c r="AL133" s="38"/>
      <c r="AM133" s="38"/>
      <c r="AN133" s="38"/>
      <c r="AO133" s="38"/>
      <c r="AP133" s="38">
        <v>32</v>
      </c>
      <c r="AQ133" s="38" t="s">
        <v>87</v>
      </c>
      <c r="AR133" s="38" t="s">
        <v>130</v>
      </c>
      <c r="AS133" s="38" t="s">
        <v>177</v>
      </c>
      <c r="AT133" s="38">
        <v>45</v>
      </c>
      <c r="AU133" s="38">
        <v>90</v>
      </c>
      <c r="AV133" s="38">
        <v>32</v>
      </c>
      <c r="AW133" s="38" t="s">
        <v>87</v>
      </c>
      <c r="AX133" s="38" t="s">
        <v>130</v>
      </c>
      <c r="AY133" s="38" t="s">
        <v>176</v>
      </c>
      <c r="AZ133" s="38">
        <v>45</v>
      </c>
      <c r="BA133" s="38">
        <v>90</v>
      </c>
      <c r="BB133" s="38">
        <f>IF(AND(PCdb[[#This Row],[BCD]]&gt;UIoptions!$S$10,PCdb[[#This Row],[BCD]]&lt;UIoptions!$T$10),1,0)</f>
        <v>1</v>
      </c>
      <c r="BC133" s="38">
        <f>IF(AND(PCdb[[#This Row],[PD]]&gt;UIoptions!$S$11,PCdb[[#This Row],[PD]]&lt;UIoptions!$T$11),1,0)</f>
        <v>1</v>
      </c>
      <c r="BD133" s="38">
        <f>IF(AND(UIoptions!$P$14&lt;=PCdb[[#This Row],[PL (MAX)]],UIoptions!$P$14&gt;UIoptions!$S$14),1,0)</f>
        <v>1</v>
      </c>
      <c r="BE133" s="38">
        <f>IF(AND(PCdb[[#This Row],[SD]]&gt;UIoptions!$S$12,PCdb[[#This Row],[SD]]&lt;UIoptions!$T$12),1,0)</f>
        <v>1</v>
      </c>
      <c r="BF133" s="38">
        <f>IF(AND(PCdb[[#This Row],[SL]]&gt;UIoptions!$S$13,PCdb[[#This Row],[SL]]&lt;UIoptions!$T$13),1,0)</f>
        <v>1</v>
      </c>
      <c r="BG133" s="38">
        <f>IF(UIoptions!$N$35=1,IF(AND(PCdb[[#This Row],[SQ_SZ]]&gt;UIoptions!$S$15,PCdb[[#This Row],[SQ_SZ]]&lt;UIoptions!$T$15),1,0),1)</f>
        <v>0</v>
      </c>
      <c r="BH133" s="38">
        <f>IF(UIoptions!$N$35=2,IF(AND(PCdb[[#This Row],[ROUND_D]]&gt;UIoptions!$S$15,PCdb[[#This Row],[ROUND_D]]&lt;UIoptions!$T$15),1,0),1)</f>
        <v>1</v>
      </c>
      <c r="BI133" s="38">
        <f>IF(UIoptions!$N$75&lt;&gt;1,1,IF(AND(PCdb[[#This Row],[FL]]&gt;UIoptions!$S$16,PCdb[[#This Row],[FL]]&lt;UIoptions!$T$16),1,0))</f>
        <v>0</v>
      </c>
      <c r="BJ133" s="38" t="e">
        <f>IF(OR(UIoptions!$Q$18=PCdb[[#This Row],[THRU_SCREW]],UIoptions!$Q$18="NA"),1,0)</f>
        <v>#N/A</v>
      </c>
      <c r="BK133" s="38">
        <f>IF(OR(UIoptions!$P$19=PCdb[[#This Row],[THREAD_SZ]],UIoptions!$P$19="NA"),1,0)</f>
        <v>1</v>
      </c>
      <c r="BL133" s="38">
        <f>IF(UIoptions!$N$75=1,1,IF(AND(PCdb[[#This Row],[THREAD_L]]&gt;UIoptions!$S$17,PCdb[[#This Row],[THREAD_L]]&lt;UIoptions!$T$17),1,0))</f>
        <v>1</v>
      </c>
      <c r="BM133" s="38" t="e">
        <f>IF(SUM(PCdb[[#This Row],[BDhit]:[THREAD_Lhit]])=11,1,0)</f>
        <v>#N/A</v>
      </c>
      <c r="BN13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75604112373NA8M5NANA4</v>
      </c>
      <c r="BO133" s="38" t="e">
        <f>SUM(PCdb[[#This Row],[BDhit]:[THREAD_Lhit]])</f>
        <v>#N/A</v>
      </c>
    </row>
    <row r="134" spans="1:67" x14ac:dyDescent="0.25">
      <c r="A134" s="173">
        <v>129</v>
      </c>
      <c r="B134" s="171">
        <v>75</v>
      </c>
      <c r="C134" s="171">
        <v>60</v>
      </c>
      <c r="D134" s="171">
        <v>4</v>
      </c>
      <c r="E134" s="171">
        <v>11</v>
      </c>
      <c r="F134" s="171">
        <v>23</v>
      </c>
      <c r="G134" s="171">
        <v>70</v>
      </c>
      <c r="H134" s="171" t="s">
        <v>87</v>
      </c>
      <c r="I134" s="171">
        <v>6</v>
      </c>
      <c r="J134" s="171" t="s">
        <v>45</v>
      </c>
      <c r="K134" s="171" t="s">
        <v>87</v>
      </c>
      <c r="L134" s="171" t="s">
        <v>87</v>
      </c>
      <c r="M134" s="171">
        <v>4</v>
      </c>
      <c r="N134" s="172" t="s">
        <v>45</v>
      </c>
      <c r="O134" s="38" t="s">
        <v>87</v>
      </c>
      <c r="P134" s="38" t="s">
        <v>87</v>
      </c>
      <c r="Q134" s="38" t="s">
        <v>87</v>
      </c>
      <c r="R134" s="38" t="s">
        <v>87</v>
      </c>
      <c r="S134" s="38" t="s">
        <v>87</v>
      </c>
      <c r="T134" s="38" t="s">
        <v>87</v>
      </c>
      <c r="U134" s="38" t="s">
        <v>87</v>
      </c>
      <c r="V134" s="38">
        <v>45.2</v>
      </c>
      <c r="W134" s="38">
        <v>32</v>
      </c>
      <c r="X134" s="38">
        <v>0</v>
      </c>
      <c r="Y134" s="38" t="s">
        <v>130</v>
      </c>
      <c r="Z134" s="38" t="s">
        <v>172</v>
      </c>
      <c r="AA134" s="38">
        <v>45</v>
      </c>
      <c r="AB134" s="38">
        <v>90</v>
      </c>
      <c r="AC134" s="38"/>
      <c r="AD134" s="38"/>
      <c r="AE134" s="38"/>
      <c r="AF134" s="38"/>
      <c r="AG134" s="38"/>
      <c r="AH134" s="38"/>
      <c r="AI134" s="38"/>
      <c r="AJ134" s="38" t="s">
        <v>87</v>
      </c>
      <c r="AK134" s="38" t="s">
        <v>87</v>
      </c>
      <c r="AL134" s="38" t="s">
        <v>87</v>
      </c>
      <c r="AM134" s="38" t="s">
        <v>87</v>
      </c>
      <c r="AN134" s="38" t="s">
        <v>87</v>
      </c>
      <c r="AO134" s="38" t="s">
        <v>87</v>
      </c>
      <c r="AP134" s="38">
        <v>32</v>
      </c>
      <c r="AQ134" s="38">
        <v>0</v>
      </c>
      <c r="AR134" s="38" t="s">
        <v>130</v>
      </c>
      <c r="AS134" s="38" t="s">
        <v>172</v>
      </c>
      <c r="AT134" s="38">
        <v>45</v>
      </c>
      <c r="AU134" s="38">
        <v>90</v>
      </c>
      <c r="AV134" s="38">
        <v>32</v>
      </c>
      <c r="AW134" s="38" t="s">
        <v>87</v>
      </c>
      <c r="AX134" s="38" t="s">
        <v>130</v>
      </c>
      <c r="AY134" s="38" t="s">
        <v>176</v>
      </c>
      <c r="AZ134" s="38">
        <v>45</v>
      </c>
      <c r="BA134" s="38">
        <v>90</v>
      </c>
      <c r="BB134" s="38">
        <f>IF(AND(PCdb[[#This Row],[BCD]]&gt;UIoptions!$S$10,PCdb[[#This Row],[BCD]]&lt;UIoptions!$T$10),1,0)</f>
        <v>1</v>
      </c>
      <c r="BC134" s="38">
        <f>IF(AND(PCdb[[#This Row],[PD]]&gt;UIoptions!$S$11,PCdb[[#This Row],[PD]]&lt;UIoptions!$T$11),1,0)</f>
        <v>1</v>
      </c>
      <c r="BD134" s="38">
        <f>IF(AND(UIoptions!$P$14&lt;=PCdb[[#This Row],[PL (MAX)]],UIoptions!$P$14&gt;UIoptions!$S$14),1,0)</f>
        <v>1</v>
      </c>
      <c r="BE134" s="38">
        <f>IF(AND(PCdb[[#This Row],[SD]]&gt;UIoptions!$S$12,PCdb[[#This Row],[SD]]&lt;UIoptions!$T$12),1,0)</f>
        <v>1</v>
      </c>
      <c r="BF134" s="38">
        <f>IF(AND(PCdb[[#This Row],[SL]]&gt;UIoptions!$S$13,PCdb[[#This Row],[SL]]&lt;UIoptions!$T$13),1,0)</f>
        <v>1</v>
      </c>
      <c r="BG134" s="38">
        <f>IF(UIoptions!$N$35=1,IF(AND(PCdb[[#This Row],[SQ_SZ]]&gt;UIoptions!$S$15,PCdb[[#This Row],[SQ_SZ]]&lt;UIoptions!$T$15),1,0),1)</f>
        <v>1</v>
      </c>
      <c r="BH134" s="38">
        <f>IF(UIoptions!$N$35=2,IF(AND(PCdb[[#This Row],[ROUND_D]]&gt;UIoptions!$S$15,PCdb[[#This Row],[ROUND_D]]&lt;UIoptions!$T$15),1,0),1)</f>
        <v>1</v>
      </c>
      <c r="BI134" s="38">
        <f>IF(UIoptions!$N$75&lt;&gt;1,1,IF(AND(PCdb[[#This Row],[FL]]&gt;UIoptions!$S$16,PCdb[[#This Row],[FL]]&lt;UIoptions!$T$16),1,0))</f>
        <v>0</v>
      </c>
      <c r="BJ134" s="38" t="e">
        <f>IF(OR(UIoptions!$Q$18=PCdb[[#This Row],[THRU_SCREW]],UIoptions!$Q$18="NA"),1,0)</f>
        <v>#N/A</v>
      </c>
      <c r="BK134" s="38">
        <f>IF(OR(UIoptions!$P$19=PCdb[[#This Row],[THREAD_SZ]],UIoptions!$P$19="NA"),1,0)</f>
        <v>1</v>
      </c>
      <c r="BL134" s="38">
        <f>IF(UIoptions!$N$75=1,1,IF(AND(PCdb[[#This Row],[THREAD_L]]&gt;UIoptions!$S$17,PCdb[[#This Row],[THREAD_L]]&lt;UIoptions!$T$17),1,0))</f>
        <v>1</v>
      </c>
      <c r="BM134" s="38" t="e">
        <f>IF(SUM(PCdb[[#This Row],[BDhit]:[THREAD_Lhit]])=11,1,0)</f>
        <v>#N/A</v>
      </c>
      <c r="BN13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75604112370NA6M5NANA4</v>
      </c>
      <c r="BO134" s="38" t="e">
        <f>SUM(PCdb[[#This Row],[BDhit]:[THREAD_Lhit]])</f>
        <v>#N/A</v>
      </c>
    </row>
    <row r="135" spans="1:67" x14ac:dyDescent="0.25">
      <c r="A135" s="173">
        <v>130</v>
      </c>
      <c r="B135" s="171">
        <v>70</v>
      </c>
      <c r="C135" s="171">
        <v>50</v>
      </c>
      <c r="D135" s="171">
        <v>4</v>
      </c>
      <c r="E135" s="171">
        <v>14</v>
      </c>
      <c r="F135" s="171">
        <v>31</v>
      </c>
      <c r="G135" s="171">
        <v>60</v>
      </c>
      <c r="H135" s="171" t="s">
        <v>87</v>
      </c>
      <c r="I135" s="171">
        <v>8</v>
      </c>
      <c r="J135" s="171" t="s">
        <v>45</v>
      </c>
      <c r="K135" s="171" t="s">
        <v>87</v>
      </c>
      <c r="L135" s="171" t="s">
        <v>87</v>
      </c>
      <c r="M135" s="171">
        <v>4</v>
      </c>
      <c r="N135" s="172" t="s">
        <v>45</v>
      </c>
      <c r="O135" s="38"/>
      <c r="P135" s="38"/>
      <c r="Q135" s="38"/>
      <c r="R135" s="38"/>
      <c r="S135" s="38"/>
      <c r="T135" s="38"/>
      <c r="U135" s="38"/>
      <c r="V135" s="25">
        <v>41.7</v>
      </c>
      <c r="W135" s="38">
        <v>27</v>
      </c>
      <c r="X135" s="38" t="s">
        <v>87</v>
      </c>
      <c r="Y135" s="38" t="s">
        <v>130</v>
      </c>
      <c r="Z135" s="38" t="s">
        <v>172</v>
      </c>
      <c r="AA135" s="38">
        <v>45</v>
      </c>
      <c r="AB135" s="38">
        <v>90</v>
      </c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>
        <v>27</v>
      </c>
      <c r="AQ135" s="38" t="s">
        <v>87</v>
      </c>
      <c r="AR135" s="38" t="s">
        <v>130</v>
      </c>
      <c r="AS135" s="38" t="s">
        <v>176</v>
      </c>
      <c r="AT135" s="38">
        <v>45</v>
      </c>
      <c r="AU135" s="38">
        <v>90</v>
      </c>
      <c r="AV135" s="38"/>
      <c r="AW135" s="38"/>
      <c r="AX135" s="38"/>
      <c r="AY135" s="38"/>
      <c r="AZ135" s="38"/>
      <c r="BA135" s="38"/>
      <c r="BB135" s="38">
        <f>IF(AND(PCdb[[#This Row],[BCD]]&gt;UIoptions!$S$10,PCdb[[#This Row],[BCD]]&lt;UIoptions!$T$10),1,0)</f>
        <v>0</v>
      </c>
      <c r="BC135" s="38">
        <f>IF(AND(PCdb[[#This Row],[PD]]&gt;UIoptions!$S$11,PCdb[[#This Row],[PD]]&lt;UIoptions!$T$11),1,0)</f>
        <v>0</v>
      </c>
      <c r="BD135" s="38">
        <f>IF(AND(UIoptions!$P$14&lt;=PCdb[[#This Row],[PL (MAX)]],UIoptions!$P$14&gt;UIoptions!$S$14),1,0)</f>
        <v>1</v>
      </c>
      <c r="BE135" s="38">
        <f>IF(AND(PCdb[[#This Row],[SD]]&gt;UIoptions!$S$12,PCdb[[#This Row],[SD]]&lt;UIoptions!$T$12),1,0)</f>
        <v>0</v>
      </c>
      <c r="BF135" s="38">
        <f>IF(AND(PCdb[[#This Row],[SL]]&gt;UIoptions!$S$13,PCdb[[#This Row],[SL]]&lt;UIoptions!$T$13),1,0)</f>
        <v>0</v>
      </c>
      <c r="BG135" s="38">
        <f>IF(UIoptions!$N$35=1,IF(AND(PCdb[[#This Row],[SQ_SZ]]&gt;UIoptions!$S$15,PCdb[[#This Row],[SQ_SZ]]&lt;UIoptions!$T$15),1,0),1)</f>
        <v>0</v>
      </c>
      <c r="BH135" s="38">
        <f>IF(UIoptions!$N$35=2,IF(AND(PCdb[[#This Row],[ROUND_D]]&gt;UIoptions!$S$15,PCdb[[#This Row],[ROUND_D]]&lt;UIoptions!$T$15),1,0),1)</f>
        <v>1</v>
      </c>
      <c r="BI135" s="38">
        <f>IF(UIoptions!$N$75&lt;&gt;1,1,IF(AND(PCdb[[#This Row],[FL]]&gt;UIoptions!$S$16,PCdb[[#This Row],[FL]]&lt;UIoptions!$T$16),1,0))</f>
        <v>0</v>
      </c>
      <c r="BJ135" s="38" t="e">
        <f>IF(OR(UIoptions!$Q$18=PCdb[[#This Row],[THRU_SCREW]],UIoptions!$Q$18="NA"),1,0)</f>
        <v>#N/A</v>
      </c>
      <c r="BK135" s="38">
        <f>IF(OR(UIoptions!$P$19=PCdb[[#This Row],[THREAD_SZ]],UIoptions!$P$19="NA"),1,0)</f>
        <v>1</v>
      </c>
      <c r="BL135" s="38">
        <f>IF(UIoptions!$N$75=1,1,IF(AND(PCdb[[#This Row],[THREAD_L]]&gt;UIoptions!$S$17,PCdb[[#This Row],[THREAD_L]]&lt;UIoptions!$T$17),1,0))</f>
        <v>1</v>
      </c>
      <c r="BM135" s="38" t="e">
        <f>IF(SUM(PCdb[[#This Row],[BDhit]:[THREAD_Lhit]])=11,1,0)</f>
        <v>#N/A</v>
      </c>
      <c r="BN13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70504143160NA8M5NANA4</v>
      </c>
      <c r="BO135" s="38" t="e">
        <f>SUM(PCdb[[#This Row],[BDhit]:[THREAD_Lhit]])</f>
        <v>#N/A</v>
      </c>
    </row>
    <row r="136" spans="1:67" x14ac:dyDescent="0.25">
      <c r="A136" s="173">
        <v>131</v>
      </c>
      <c r="B136" s="171">
        <v>66.7</v>
      </c>
      <c r="C136" s="171">
        <v>38.1</v>
      </c>
      <c r="D136" s="171">
        <v>1.9</v>
      </c>
      <c r="E136" s="171">
        <v>6.35</v>
      </c>
      <c r="F136" s="171">
        <v>20.6</v>
      </c>
      <c r="G136" s="171">
        <v>59.1</v>
      </c>
      <c r="H136" s="171" t="s">
        <v>87</v>
      </c>
      <c r="I136" s="171">
        <v>4.8</v>
      </c>
      <c r="J136" s="171" t="s">
        <v>7</v>
      </c>
      <c r="K136" s="171" t="s">
        <v>87</v>
      </c>
      <c r="L136" s="171" t="s">
        <v>87</v>
      </c>
      <c r="M136" s="171">
        <v>4</v>
      </c>
      <c r="N136" s="172" t="s">
        <v>7</v>
      </c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>
        <f>IF(AND(PCdb[[#This Row],[BCD]]&gt;UIoptions!$S$10,PCdb[[#This Row],[BCD]]&lt;UIoptions!$T$10),1,0)</f>
        <v>0</v>
      </c>
      <c r="BC136" s="38">
        <f>IF(AND(PCdb[[#This Row],[PD]]&gt;UIoptions!$S$11,PCdb[[#This Row],[PD]]&lt;UIoptions!$T$11),1,0)</f>
        <v>0</v>
      </c>
      <c r="BD136" s="38">
        <f>IF(AND(UIoptions!$P$14&lt;=PCdb[[#This Row],[PL (MAX)]],UIoptions!$P$14&gt;UIoptions!$S$14),1,0)</f>
        <v>0</v>
      </c>
      <c r="BE136" s="38">
        <f>IF(AND(PCdb[[#This Row],[SD]]&gt;UIoptions!$S$12,PCdb[[#This Row],[SD]]&lt;UIoptions!$T$12),1,0)</f>
        <v>0</v>
      </c>
      <c r="BF136" s="38">
        <f>IF(AND(PCdb[[#This Row],[SL]]&gt;UIoptions!$S$13,PCdb[[#This Row],[SL]]&lt;UIoptions!$T$13),1,0)</f>
        <v>0</v>
      </c>
      <c r="BG136" s="38">
        <f>IF(UIoptions!$N$35=1,IF(AND(PCdb[[#This Row],[SQ_SZ]]&gt;UIoptions!$S$15,PCdb[[#This Row],[SQ_SZ]]&lt;UIoptions!$T$15),1,0),1)</f>
        <v>0</v>
      </c>
      <c r="BH136" s="38">
        <f>IF(UIoptions!$N$35=2,IF(AND(PCdb[[#This Row],[ROUND_D]]&gt;UIoptions!$S$15,PCdb[[#This Row],[ROUND_D]]&lt;UIoptions!$T$15),1,0),1)</f>
        <v>1</v>
      </c>
      <c r="BI136" s="38">
        <f>IF(UIoptions!$N$75&lt;&gt;1,1,IF(AND(PCdb[[#This Row],[FL]]&gt;UIoptions!$S$16,PCdb[[#This Row],[FL]]&lt;UIoptions!$T$16),1,0))</f>
        <v>0</v>
      </c>
      <c r="BJ136" s="38" t="e">
        <f>IF(OR(UIoptions!$Q$18=PCdb[[#This Row],[THRU_SCREW]],UIoptions!$Q$18="NA"),1,0)</f>
        <v>#N/A</v>
      </c>
      <c r="BK136" s="38">
        <f>IF(OR(UIoptions!$P$19=PCdb[[#This Row],[THREAD_SZ]],UIoptions!$P$19="NA"),1,0)</f>
        <v>1</v>
      </c>
      <c r="BL136" s="38">
        <f>IF(UIoptions!$N$75=1,1,IF(AND(PCdb[[#This Row],[THREAD_L]]&gt;UIoptions!$S$17,PCdb[[#This Row],[THREAD_L]]&lt;UIoptions!$T$17),1,0))</f>
        <v>1</v>
      </c>
      <c r="BM136" s="38" t="e">
        <f>IF(SUM(PCdb[[#This Row],[BDhit]:[THREAD_Lhit]])=11,1,0)</f>
        <v>#N/A</v>
      </c>
      <c r="BN13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66.738.11.96.3520.659.1NA4.8M4NANA4</v>
      </c>
      <c r="BO136" s="38" t="e">
        <f>SUM(PCdb[[#This Row],[BDhit]:[THREAD_Lhit]])</f>
        <v>#N/A</v>
      </c>
    </row>
    <row r="137" spans="1:67" x14ac:dyDescent="0.25">
      <c r="A137" s="173">
        <v>132</v>
      </c>
      <c r="B137" s="171">
        <v>98.4</v>
      </c>
      <c r="C137" s="171">
        <v>73.03</v>
      </c>
      <c r="D137" s="171">
        <v>2</v>
      </c>
      <c r="E137" s="171">
        <v>12.7</v>
      </c>
      <c r="F137" s="171">
        <v>32.5</v>
      </c>
      <c r="G137" s="171">
        <v>86.9</v>
      </c>
      <c r="H137" s="171" t="s">
        <v>87</v>
      </c>
      <c r="I137" s="171">
        <v>4.8</v>
      </c>
      <c r="J137" s="171" t="s">
        <v>45</v>
      </c>
      <c r="K137" s="171" t="s">
        <v>87</v>
      </c>
      <c r="L137" s="171" t="s">
        <v>87</v>
      </c>
      <c r="M137" s="171">
        <v>4</v>
      </c>
      <c r="N137" s="172" t="s">
        <v>45</v>
      </c>
      <c r="O137" s="38" t="s">
        <v>87</v>
      </c>
      <c r="P137" s="38" t="s">
        <v>87</v>
      </c>
      <c r="Q137" s="38" t="s">
        <v>87</v>
      </c>
      <c r="R137" s="38" t="s">
        <v>87</v>
      </c>
      <c r="S137" s="38" t="s">
        <v>87</v>
      </c>
      <c r="T137" s="38" t="s">
        <v>87</v>
      </c>
      <c r="U137" s="38" t="s">
        <v>87</v>
      </c>
      <c r="V137" s="38">
        <v>41.7</v>
      </c>
      <c r="W137" s="38">
        <v>37.5</v>
      </c>
      <c r="X137" s="38">
        <v>0</v>
      </c>
      <c r="Y137" s="38" t="s">
        <v>130</v>
      </c>
      <c r="Z137" s="38" t="s">
        <v>172</v>
      </c>
      <c r="AA137" s="38">
        <v>45</v>
      </c>
      <c r="AB137" s="38">
        <v>90</v>
      </c>
      <c r="AC137" s="38">
        <v>45.2</v>
      </c>
      <c r="AD137" s="38">
        <v>39</v>
      </c>
      <c r="AE137" s="38">
        <v>0</v>
      </c>
      <c r="AF137" s="38" t="s">
        <v>130</v>
      </c>
      <c r="AG137" s="38" t="s">
        <v>172</v>
      </c>
      <c r="AH137" s="38">
        <v>45</v>
      </c>
      <c r="AI137" s="38">
        <v>90</v>
      </c>
      <c r="AJ137" s="38" t="s">
        <v>87</v>
      </c>
      <c r="AK137" s="38" t="s">
        <v>87</v>
      </c>
      <c r="AL137" s="38" t="s">
        <v>87</v>
      </c>
      <c r="AM137" s="38" t="s">
        <v>87</v>
      </c>
      <c r="AN137" s="38" t="s">
        <v>87</v>
      </c>
      <c r="AO137" s="38" t="s">
        <v>87</v>
      </c>
      <c r="AP137" s="38" t="s">
        <v>87</v>
      </c>
      <c r="AQ137" s="38" t="s">
        <v>87</v>
      </c>
      <c r="AR137" s="38" t="s">
        <v>87</v>
      </c>
      <c r="AS137" s="38" t="s">
        <v>87</v>
      </c>
      <c r="AT137" s="38" t="s">
        <v>87</v>
      </c>
      <c r="AU137" s="38" t="s">
        <v>87</v>
      </c>
      <c r="AV137" s="38">
        <v>40</v>
      </c>
      <c r="AW137" s="38">
        <v>0</v>
      </c>
      <c r="AX137" s="38" t="s">
        <v>130</v>
      </c>
      <c r="AY137" s="38" t="s">
        <v>177</v>
      </c>
      <c r="AZ137" s="38">
        <v>45</v>
      </c>
      <c r="BA137" s="38">
        <v>90</v>
      </c>
      <c r="BB137" s="38">
        <f>IF(AND(PCdb[[#This Row],[BCD]]&gt;UIoptions!$S$10,PCdb[[#This Row],[BCD]]&lt;UIoptions!$T$10),1,0)</f>
        <v>0</v>
      </c>
      <c r="BC137" s="38">
        <f>IF(AND(PCdb[[#This Row],[PD]]&gt;UIoptions!$S$11,PCdb[[#This Row],[PD]]&lt;UIoptions!$T$11),1,0)</f>
        <v>0</v>
      </c>
      <c r="BD137" s="38">
        <f>IF(AND(UIoptions!$P$14&lt;=PCdb[[#This Row],[PL (MAX)]],UIoptions!$P$14&gt;UIoptions!$S$14),1,0)</f>
        <v>0</v>
      </c>
      <c r="BE137" s="38">
        <f>IF(AND(PCdb[[#This Row],[SD]]&gt;UIoptions!$S$12,PCdb[[#This Row],[SD]]&lt;UIoptions!$T$12),1,0)</f>
        <v>0</v>
      </c>
      <c r="BF137" s="38">
        <f>IF(AND(PCdb[[#This Row],[SL]]&gt;UIoptions!$S$13,PCdb[[#This Row],[SL]]&lt;UIoptions!$T$13),1,0)</f>
        <v>0</v>
      </c>
      <c r="BG137" s="38">
        <f>IF(UIoptions!$N$35=1,IF(AND(PCdb[[#This Row],[SQ_SZ]]&gt;UIoptions!$S$15,PCdb[[#This Row],[SQ_SZ]]&lt;UIoptions!$T$15),1,0),1)</f>
        <v>0</v>
      </c>
      <c r="BH137" s="38">
        <f>IF(UIoptions!$N$35=2,IF(AND(PCdb[[#This Row],[ROUND_D]]&gt;UIoptions!$S$15,PCdb[[#This Row],[ROUND_D]]&lt;UIoptions!$T$15),1,0),1)</f>
        <v>1</v>
      </c>
      <c r="BI137" s="38">
        <f>IF(UIoptions!$N$75&lt;&gt;1,1,IF(AND(PCdb[[#This Row],[FL]]&gt;UIoptions!$S$16,PCdb[[#This Row],[FL]]&lt;UIoptions!$T$16),1,0))</f>
        <v>0</v>
      </c>
      <c r="BJ137" s="38" t="e">
        <f>IF(OR(UIoptions!$Q$18=PCdb[[#This Row],[THRU_SCREW]],UIoptions!$Q$18="NA"),1,0)</f>
        <v>#N/A</v>
      </c>
      <c r="BK137" s="38">
        <f>IF(OR(UIoptions!$P$19=PCdb[[#This Row],[THREAD_SZ]],UIoptions!$P$19="NA"),1,0)</f>
        <v>1</v>
      </c>
      <c r="BL137" s="38">
        <f>IF(UIoptions!$N$75=1,1,IF(AND(PCdb[[#This Row],[THREAD_L]]&gt;UIoptions!$S$17,PCdb[[#This Row],[THREAD_L]]&lt;UIoptions!$T$17),1,0))</f>
        <v>1</v>
      </c>
      <c r="BM137" s="38" t="e">
        <f>IF(SUM(PCdb[[#This Row],[BDhit]:[THREAD_Lhit]])=11,1,0)</f>
        <v>#N/A</v>
      </c>
      <c r="BN13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98.473.03212.732.586.9NA4.8M5NANA4</v>
      </c>
      <c r="BO137" s="38" t="e">
        <f>SUM(PCdb[[#This Row],[BDhit]:[THREAD_Lhit]])</f>
        <v>#N/A</v>
      </c>
    </row>
    <row r="138" spans="1:67" x14ac:dyDescent="0.25">
      <c r="A138" s="173">
        <v>133</v>
      </c>
      <c r="B138" s="171">
        <v>52</v>
      </c>
      <c r="C138" s="171">
        <v>40</v>
      </c>
      <c r="D138" s="171">
        <v>4</v>
      </c>
      <c r="E138" s="171">
        <v>15</v>
      </c>
      <c r="F138" s="171">
        <v>32</v>
      </c>
      <c r="G138" s="171" t="s">
        <v>87</v>
      </c>
      <c r="H138" s="171">
        <v>63</v>
      </c>
      <c r="I138" s="171" t="s">
        <v>87</v>
      </c>
      <c r="J138" s="171" t="s">
        <v>87</v>
      </c>
      <c r="K138" s="171" t="s">
        <v>45</v>
      </c>
      <c r="L138" s="171">
        <v>10</v>
      </c>
      <c r="M138" s="171">
        <v>4</v>
      </c>
      <c r="N138" s="172">
        <v>6</v>
      </c>
      <c r="O138" s="38" t="s">
        <v>87</v>
      </c>
      <c r="P138" s="38" t="s">
        <v>87</v>
      </c>
      <c r="Q138" s="38" t="s">
        <v>87</v>
      </c>
      <c r="R138" s="38" t="s">
        <v>87</v>
      </c>
      <c r="S138" s="38" t="s">
        <v>87</v>
      </c>
      <c r="T138" s="38" t="s">
        <v>87</v>
      </c>
      <c r="U138" s="38" t="s">
        <v>87</v>
      </c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 t="s">
        <v>87</v>
      </c>
      <c r="AK138" s="38" t="s">
        <v>87</v>
      </c>
      <c r="AL138" s="38" t="s">
        <v>87</v>
      </c>
      <c r="AM138" s="38" t="s">
        <v>87</v>
      </c>
      <c r="AN138" s="38" t="s">
        <v>87</v>
      </c>
      <c r="AO138" s="38" t="s">
        <v>87</v>
      </c>
      <c r="AP138" s="38"/>
      <c r="AQ138" s="38"/>
      <c r="AR138" s="38"/>
      <c r="AS138" s="38"/>
      <c r="AT138" s="38"/>
      <c r="AU138" s="38"/>
      <c r="AV138" s="38" t="s">
        <v>87</v>
      </c>
      <c r="AW138" s="38" t="s">
        <v>87</v>
      </c>
      <c r="AX138" s="38" t="s">
        <v>130</v>
      </c>
      <c r="AY138" s="38" t="s">
        <v>281</v>
      </c>
      <c r="AZ138" s="38">
        <v>45</v>
      </c>
      <c r="BA138" s="38">
        <v>90</v>
      </c>
      <c r="BB138" s="38">
        <f>IF(AND(PCdb[[#This Row],[BCD]]&gt;UIoptions!$S$10,PCdb[[#This Row],[BCD]]&lt;UIoptions!$T$10),1,0)</f>
        <v>0</v>
      </c>
      <c r="BC138" s="38">
        <f>IF(AND(PCdb[[#This Row],[PD]]&gt;UIoptions!$S$11,PCdb[[#This Row],[PD]]&lt;UIoptions!$T$11),1,0)</f>
        <v>0</v>
      </c>
      <c r="BD138" s="38">
        <f>IF(AND(UIoptions!$P$14&lt;=PCdb[[#This Row],[PL (MAX)]],UIoptions!$P$14&gt;UIoptions!$S$14),1,0)</f>
        <v>1</v>
      </c>
      <c r="BE138" s="38">
        <f>IF(AND(PCdb[[#This Row],[SD]]&gt;UIoptions!$S$12,PCdb[[#This Row],[SD]]&lt;UIoptions!$T$12),1,0)</f>
        <v>0</v>
      </c>
      <c r="BF138" s="38">
        <f>IF(AND(PCdb[[#This Row],[SL]]&gt;UIoptions!$S$13,PCdb[[#This Row],[SL]]&lt;UIoptions!$T$13),1,0)</f>
        <v>0</v>
      </c>
      <c r="BG138" s="38">
        <f>IF(UIoptions!$N$35=1,IF(AND(PCdb[[#This Row],[SQ_SZ]]&gt;UIoptions!$S$15,PCdb[[#This Row],[SQ_SZ]]&lt;UIoptions!$T$15),1,0),1)</f>
        <v>0</v>
      </c>
      <c r="BH138" s="38">
        <f>IF(UIoptions!$N$35=2,IF(AND(PCdb[[#This Row],[ROUND_D]]&gt;UIoptions!$S$15,PCdb[[#This Row],[ROUND_D]]&lt;UIoptions!$T$15),1,0),1)</f>
        <v>1</v>
      </c>
      <c r="BI138" s="38">
        <f>IF(UIoptions!$N$75&lt;&gt;1,1,IF(AND(PCdb[[#This Row],[FL]]&gt;UIoptions!$S$16,PCdb[[#This Row],[FL]]&lt;UIoptions!$T$16),1,0))</f>
        <v>0</v>
      </c>
      <c r="BJ138" s="38" t="e">
        <f>IF(OR(UIoptions!$Q$18=PCdb[[#This Row],[THRU_SCREW]],UIoptions!$Q$18="NA"),1,0)</f>
        <v>#N/A</v>
      </c>
      <c r="BK138" s="38">
        <f>IF(OR(UIoptions!$P$19=PCdb[[#This Row],[THREAD_SZ]],UIoptions!$P$19="NA"),1,0)</f>
        <v>1</v>
      </c>
      <c r="BL138" s="38">
        <f>IF(UIoptions!$N$75=1,1,IF(AND(PCdb[[#This Row],[THREAD_L]]&gt;UIoptions!$S$17,PCdb[[#This Row],[THREAD_L]]&lt;UIoptions!$T$17),1,0))</f>
        <v>1</v>
      </c>
      <c r="BM138" s="38" t="e">
        <f>IF(SUM(PCdb[[#This Row],[BDhit]:[THREAD_Lhit]])=11,1,0)</f>
        <v>#N/A</v>
      </c>
      <c r="BN13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524041532NA63NANAM5104</v>
      </c>
      <c r="BO138" s="38" t="e">
        <f>SUM(PCdb[[#This Row],[BDhit]:[THREAD_Lhit]])</f>
        <v>#N/A</v>
      </c>
    </row>
    <row r="139" spans="1:67" x14ac:dyDescent="0.25">
      <c r="A139" s="7">
        <v>134</v>
      </c>
      <c r="B139" s="93">
        <v>63</v>
      </c>
      <c r="C139" s="93">
        <v>40</v>
      </c>
      <c r="D139" s="93">
        <v>4</v>
      </c>
      <c r="E139" s="93">
        <v>9</v>
      </c>
      <c r="F139" s="93">
        <v>20</v>
      </c>
      <c r="G139" s="93">
        <v>55</v>
      </c>
      <c r="H139" s="93" t="s">
        <v>87</v>
      </c>
      <c r="I139" s="93">
        <v>6.5</v>
      </c>
      <c r="J139" s="93" t="s">
        <v>7</v>
      </c>
      <c r="K139" s="93" t="s">
        <v>87</v>
      </c>
      <c r="L139" s="93" t="s">
        <v>87</v>
      </c>
      <c r="M139" s="93">
        <v>4</v>
      </c>
      <c r="N139" s="38" t="s">
        <v>7</v>
      </c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>
        <v>24</v>
      </c>
      <c r="AK139" s="38">
        <v>0</v>
      </c>
      <c r="AL139" s="38" t="s">
        <v>130</v>
      </c>
      <c r="AM139" s="38" t="s">
        <v>177</v>
      </c>
      <c r="AN139" s="38">
        <v>45</v>
      </c>
      <c r="AO139" s="38">
        <v>90</v>
      </c>
      <c r="AP139" s="38"/>
      <c r="AQ139" s="38"/>
      <c r="AR139" s="38"/>
      <c r="AS139" s="38"/>
      <c r="AT139" s="38"/>
      <c r="AU139" s="38"/>
      <c r="AV139" s="38">
        <v>36</v>
      </c>
      <c r="AW139" s="38">
        <v>0</v>
      </c>
      <c r="AX139" s="38" t="s">
        <v>130</v>
      </c>
      <c r="AY139" s="38" t="s">
        <v>176</v>
      </c>
      <c r="AZ139" s="38">
        <v>45</v>
      </c>
      <c r="BA139" s="38">
        <v>90</v>
      </c>
      <c r="BB139" s="38">
        <f>IF(AND(PCdb[[#This Row],[BCD]]&gt;UIoptions!$S$10,PCdb[[#This Row],[BCD]]&lt;UIoptions!$T$10),1,0)</f>
        <v>0</v>
      </c>
      <c r="BC139" s="38">
        <f>IF(AND(PCdb[[#This Row],[PD]]&gt;UIoptions!$S$11,PCdb[[#This Row],[PD]]&lt;UIoptions!$T$11),1,0)</f>
        <v>0</v>
      </c>
      <c r="BD139" s="38">
        <f>IF(AND(UIoptions!$P$14&lt;=PCdb[[#This Row],[PL (MAX)]],UIoptions!$P$14&gt;UIoptions!$S$14),1,0)</f>
        <v>1</v>
      </c>
      <c r="BE139" s="38">
        <f>IF(AND(PCdb[[#This Row],[SD]]&gt;UIoptions!$S$12,PCdb[[#This Row],[SD]]&lt;UIoptions!$T$12),1,0)</f>
        <v>0</v>
      </c>
      <c r="BF139" s="38">
        <f>IF(AND(PCdb[[#This Row],[SL]]&gt;UIoptions!$S$13,PCdb[[#This Row],[SL]]&lt;UIoptions!$T$13),1,0)</f>
        <v>0</v>
      </c>
      <c r="BG139" s="38">
        <f>IF(UIoptions!$N$35=1,IF(AND(PCdb[[#This Row],[SQ_SZ]]&gt;UIoptions!$S$15,PCdb[[#This Row],[SQ_SZ]]&lt;UIoptions!$T$15),1,0),1)</f>
        <v>0</v>
      </c>
      <c r="BH139" s="38">
        <f>IF(UIoptions!$N$35=2,IF(AND(PCdb[[#This Row],[ROUND_D]]&gt;UIoptions!$S$15,PCdb[[#This Row],[ROUND_D]]&lt;UIoptions!$T$15),1,0),1)</f>
        <v>1</v>
      </c>
      <c r="BI139" s="38">
        <f>IF(UIoptions!$N$75&lt;&gt;1,1,IF(AND(PCdb[[#This Row],[FL]]&gt;UIoptions!$S$16,PCdb[[#This Row],[FL]]&lt;UIoptions!$T$16),1,0))</f>
        <v>0</v>
      </c>
      <c r="BJ139" s="38" t="e">
        <f>IF(OR(UIoptions!$Q$18=PCdb[[#This Row],[THRU_SCREW]],UIoptions!$Q$18="NA"),1,0)</f>
        <v>#N/A</v>
      </c>
      <c r="BK139" s="38">
        <f>IF(OR(UIoptions!$P$19=PCdb[[#This Row],[THREAD_SZ]],UIoptions!$P$19="NA"),1,0)</f>
        <v>1</v>
      </c>
      <c r="BL139" s="38">
        <f>IF(UIoptions!$N$75=1,1,IF(AND(PCdb[[#This Row],[THREAD_L]]&gt;UIoptions!$S$17,PCdb[[#This Row],[THREAD_L]]&lt;UIoptions!$T$17),1,0))</f>
        <v>1</v>
      </c>
      <c r="BM139" s="38" t="e">
        <f>IF(SUM(PCdb[[#This Row],[BDhit]:[THREAD_Lhit]])=11,1,0)</f>
        <v>#N/A</v>
      </c>
      <c r="BN13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6340492055NA6.5M4NANA4</v>
      </c>
      <c r="BO139" s="38" t="e">
        <f>SUM(PCdb[[#This Row],[BDhit]:[THREAD_Lhit]])</f>
        <v>#N/A</v>
      </c>
    </row>
    <row r="140" spans="1:67" x14ac:dyDescent="0.25">
      <c r="A140" s="7">
        <v>135</v>
      </c>
      <c r="B140" s="93">
        <v>40</v>
      </c>
      <c r="C140" s="93">
        <v>32</v>
      </c>
      <c r="D140" s="93">
        <v>6</v>
      </c>
      <c r="E140" s="93">
        <v>12</v>
      </c>
      <c r="F140" s="93">
        <v>25</v>
      </c>
      <c r="G140" s="93" t="s">
        <v>87</v>
      </c>
      <c r="H140" s="93">
        <v>52</v>
      </c>
      <c r="I140" s="93" t="s">
        <v>87</v>
      </c>
      <c r="J140" s="93" t="s">
        <v>87</v>
      </c>
      <c r="K140" s="93" t="s">
        <v>45</v>
      </c>
      <c r="L140" s="93">
        <v>7.5</v>
      </c>
      <c r="M140" s="93">
        <v>4</v>
      </c>
      <c r="N140" s="38">
        <v>6</v>
      </c>
      <c r="O140" s="38"/>
      <c r="P140" s="38"/>
      <c r="Q140" s="38"/>
      <c r="R140" s="38"/>
      <c r="S140" s="38"/>
      <c r="T140" s="38"/>
      <c r="U140" s="38"/>
      <c r="V140" s="38">
        <v>45.2</v>
      </c>
      <c r="W140" s="38" t="s">
        <v>87</v>
      </c>
      <c r="X140" s="38" t="s">
        <v>87</v>
      </c>
      <c r="Y140" s="38" t="s">
        <v>130</v>
      </c>
      <c r="Z140" s="38" t="s">
        <v>674</v>
      </c>
      <c r="AA140" s="38">
        <v>45</v>
      </c>
      <c r="AB140" s="38">
        <v>90</v>
      </c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 t="s">
        <v>87</v>
      </c>
      <c r="AW140" s="38" t="s">
        <v>87</v>
      </c>
      <c r="AX140" s="38" t="s">
        <v>130</v>
      </c>
      <c r="AY140" s="38" t="s">
        <v>673</v>
      </c>
      <c r="AZ140" s="38">
        <v>45</v>
      </c>
      <c r="BA140" s="38">
        <v>90</v>
      </c>
      <c r="BB140" s="38">
        <f>IF(AND(PCdb[[#This Row],[BCD]]&gt;UIoptions!$S$10,PCdb[[#This Row],[BCD]]&lt;UIoptions!$T$10),1,0)</f>
        <v>0</v>
      </c>
      <c r="BC140" s="38">
        <f>IF(AND(PCdb[[#This Row],[PD]]&gt;UIoptions!$S$11,PCdb[[#This Row],[PD]]&lt;UIoptions!$T$11),1,0)</f>
        <v>0</v>
      </c>
      <c r="BD140" s="38">
        <f>IF(AND(UIoptions!$P$14&lt;=PCdb[[#This Row],[PL (MAX)]],UIoptions!$P$14&gt;UIoptions!$S$14),1,0)</f>
        <v>1</v>
      </c>
      <c r="BE140" s="38">
        <f>IF(AND(PCdb[[#This Row],[SD]]&gt;UIoptions!$S$12,PCdb[[#This Row],[SD]]&lt;UIoptions!$T$12),1,0)</f>
        <v>0</v>
      </c>
      <c r="BF140" s="38">
        <f>IF(AND(PCdb[[#This Row],[SL]]&gt;UIoptions!$S$13,PCdb[[#This Row],[SL]]&lt;UIoptions!$T$13),1,0)</f>
        <v>0</v>
      </c>
      <c r="BG140" s="38">
        <f>IF(UIoptions!$N$35=1,IF(AND(PCdb[[#This Row],[SQ_SZ]]&gt;UIoptions!$S$15,PCdb[[#This Row],[SQ_SZ]]&lt;UIoptions!$T$15),1,0),1)</f>
        <v>0</v>
      </c>
      <c r="BH140" s="38">
        <f>IF(UIoptions!$N$35=2,IF(AND(PCdb[[#This Row],[ROUND_D]]&gt;UIoptions!$S$15,PCdb[[#This Row],[ROUND_D]]&lt;UIoptions!$T$15),1,0),1)</f>
        <v>1</v>
      </c>
      <c r="BI140" s="38">
        <f>IF(UIoptions!$N$75&lt;&gt;1,1,IF(AND(PCdb[[#This Row],[FL]]&gt;UIoptions!$S$16,PCdb[[#This Row],[FL]]&lt;UIoptions!$T$16),1,0))</f>
        <v>0</v>
      </c>
      <c r="BJ140" s="38" t="e">
        <f>IF(OR(UIoptions!$Q$18=PCdb[[#This Row],[THRU_SCREW]],UIoptions!$Q$18="NA"),1,0)</f>
        <v>#N/A</v>
      </c>
      <c r="BK140" s="38">
        <f>IF(OR(UIoptions!$P$19=PCdb[[#This Row],[THREAD_SZ]],UIoptions!$P$19="NA"),1,0)</f>
        <v>1</v>
      </c>
      <c r="BL140" s="38">
        <f>IF(UIoptions!$N$75=1,1,IF(AND(PCdb[[#This Row],[THREAD_L]]&gt;UIoptions!$S$17,PCdb[[#This Row],[THREAD_L]]&lt;UIoptions!$T$17),1,0))</f>
        <v>1</v>
      </c>
      <c r="BM140" s="38" t="e">
        <f>IF(SUM(PCdb[[#This Row],[BDhit]:[THREAD_Lhit]])=11,1,0)</f>
        <v>#N/A</v>
      </c>
      <c r="BN14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403261225NA52NANAM57.54</v>
      </c>
      <c r="BO140" s="38" t="e">
        <f>SUM(PCdb[[#This Row],[BDhit]:[THREAD_Lhit]])</f>
        <v>#N/A</v>
      </c>
    </row>
    <row r="141" spans="1:67" x14ac:dyDescent="0.25">
      <c r="A141" s="7">
        <v>136</v>
      </c>
      <c r="B141" s="93">
        <v>36</v>
      </c>
      <c r="C141" s="93">
        <v>25</v>
      </c>
      <c r="D141" s="93">
        <v>4</v>
      </c>
      <c r="E141" s="93">
        <v>10</v>
      </c>
      <c r="F141" s="93">
        <v>30</v>
      </c>
      <c r="G141" s="93">
        <v>50</v>
      </c>
      <c r="H141" s="93" t="s">
        <v>87</v>
      </c>
      <c r="I141" s="93" t="s">
        <v>87</v>
      </c>
      <c r="J141" s="93" t="s">
        <v>87</v>
      </c>
      <c r="K141" s="93" t="s">
        <v>7</v>
      </c>
      <c r="L141" s="93">
        <v>8</v>
      </c>
      <c r="M141" s="93">
        <v>4</v>
      </c>
      <c r="N141" s="38">
        <v>5</v>
      </c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>
        <v>48.7</v>
      </c>
      <c r="AD141" s="38" t="s">
        <v>87</v>
      </c>
      <c r="AE141" s="38" t="s">
        <v>87</v>
      </c>
      <c r="AF141" s="38" t="s">
        <v>130</v>
      </c>
      <c r="AG141" s="38" t="s">
        <v>279</v>
      </c>
      <c r="AH141" s="38">
        <v>45</v>
      </c>
      <c r="AI141" s="38">
        <v>90</v>
      </c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>
        <f>IF(AND(PCdb[[#This Row],[BCD]]&gt;UIoptions!$S$10,PCdb[[#This Row],[BCD]]&lt;UIoptions!$T$10),1,0)</f>
        <v>0</v>
      </c>
      <c r="BC141" s="38">
        <f>IF(AND(PCdb[[#This Row],[PD]]&gt;UIoptions!$S$11,PCdb[[#This Row],[PD]]&lt;UIoptions!$T$11),1,0)</f>
        <v>0</v>
      </c>
      <c r="BD141" s="38">
        <f>IF(AND(UIoptions!$P$14&lt;=PCdb[[#This Row],[PL (MAX)]],UIoptions!$P$14&gt;UIoptions!$S$14),1,0)</f>
        <v>1</v>
      </c>
      <c r="BE141" s="38">
        <f>IF(AND(PCdb[[#This Row],[SD]]&gt;UIoptions!$S$12,PCdb[[#This Row],[SD]]&lt;UIoptions!$T$12),1,0)</f>
        <v>0</v>
      </c>
      <c r="BF141" s="38">
        <f>IF(AND(PCdb[[#This Row],[SL]]&gt;UIoptions!$S$13,PCdb[[#This Row],[SL]]&lt;UIoptions!$T$13),1,0)</f>
        <v>0</v>
      </c>
      <c r="BG141" s="38">
        <f>IF(UIoptions!$N$35=1,IF(AND(PCdb[[#This Row],[SQ_SZ]]&gt;UIoptions!$S$15,PCdb[[#This Row],[SQ_SZ]]&lt;UIoptions!$T$15),1,0),1)</f>
        <v>0</v>
      </c>
      <c r="BH141" s="38">
        <f>IF(UIoptions!$N$35=2,IF(AND(PCdb[[#This Row],[ROUND_D]]&gt;UIoptions!$S$15,PCdb[[#This Row],[ROUND_D]]&lt;UIoptions!$T$15),1,0),1)</f>
        <v>1</v>
      </c>
      <c r="BI141" s="38">
        <f>IF(UIoptions!$N$75&lt;&gt;1,1,IF(AND(PCdb[[#This Row],[FL]]&gt;UIoptions!$S$16,PCdb[[#This Row],[FL]]&lt;UIoptions!$T$16),1,0))</f>
        <v>0</v>
      </c>
      <c r="BJ141" s="38" t="e">
        <f>IF(OR(UIoptions!$Q$18=PCdb[[#This Row],[THRU_SCREW]],UIoptions!$Q$18="NA"),1,0)</f>
        <v>#N/A</v>
      </c>
      <c r="BK141" s="38">
        <f>IF(OR(UIoptions!$P$19=PCdb[[#This Row],[THREAD_SZ]],UIoptions!$P$19="NA"),1,0)</f>
        <v>1</v>
      </c>
      <c r="BL141" s="38">
        <f>IF(UIoptions!$N$75=1,1,IF(AND(PCdb[[#This Row],[THREAD_L]]&gt;UIoptions!$S$17,PCdb[[#This Row],[THREAD_L]]&lt;UIoptions!$T$17),1,0))</f>
        <v>1</v>
      </c>
      <c r="BM141" s="38" t="e">
        <f>IF(SUM(PCdb[[#This Row],[BDhit]:[THREAD_Lhit]])=11,1,0)</f>
        <v>#N/A</v>
      </c>
      <c r="BN14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36254103050NANANAM484</v>
      </c>
      <c r="BO141" s="38" t="e">
        <f>SUM(PCdb[[#This Row],[BDhit]:[THREAD_Lhit]])</f>
        <v>#N/A</v>
      </c>
    </row>
    <row r="142" spans="1:67" x14ac:dyDescent="0.25">
      <c r="A142" s="7">
        <v>137</v>
      </c>
      <c r="B142" s="93">
        <v>70</v>
      </c>
      <c r="C142" s="93">
        <v>50</v>
      </c>
      <c r="D142" s="93">
        <v>5.5</v>
      </c>
      <c r="E142" s="93">
        <v>16</v>
      </c>
      <c r="F142" s="93">
        <v>37</v>
      </c>
      <c r="G142" s="93">
        <v>60</v>
      </c>
      <c r="H142" s="93" t="s">
        <v>87</v>
      </c>
      <c r="I142" s="93">
        <v>10</v>
      </c>
      <c r="J142" s="93" t="s">
        <v>45</v>
      </c>
      <c r="K142" s="93" t="s">
        <v>87</v>
      </c>
      <c r="L142" s="93" t="s">
        <v>87</v>
      </c>
      <c r="M142" s="93">
        <v>4</v>
      </c>
      <c r="N142" s="38" t="s">
        <v>45</v>
      </c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25">
        <v>45.2</v>
      </c>
      <c r="AD142" s="38" t="s">
        <v>87</v>
      </c>
      <c r="AE142" s="38" t="s">
        <v>87</v>
      </c>
      <c r="AF142" s="38" t="s">
        <v>130</v>
      </c>
      <c r="AG142" s="38" t="s">
        <v>638</v>
      </c>
      <c r="AH142" s="38">
        <v>45</v>
      </c>
      <c r="AI142" s="38">
        <v>90</v>
      </c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 t="s">
        <v>87</v>
      </c>
      <c r="AW142" s="38" t="s">
        <v>87</v>
      </c>
      <c r="AX142" s="38" t="s">
        <v>130</v>
      </c>
      <c r="AY142" s="34" t="s">
        <v>715</v>
      </c>
      <c r="AZ142" s="38">
        <v>45</v>
      </c>
      <c r="BA142" s="38">
        <v>90</v>
      </c>
      <c r="BB142" s="38">
        <f>IF(AND(PCdb[[#This Row],[BCD]]&gt;UIoptions!$S$10,PCdb[[#This Row],[BCD]]&lt;UIoptions!$T$10),1,0)</f>
        <v>0</v>
      </c>
      <c r="BC142" s="38">
        <f>IF(AND(PCdb[[#This Row],[PD]]&gt;UIoptions!$S$11,PCdb[[#This Row],[PD]]&lt;UIoptions!$T$11),1,0)</f>
        <v>0</v>
      </c>
      <c r="BD142" s="38">
        <f>IF(AND(UIoptions!$P$14&lt;=PCdb[[#This Row],[PL (MAX)]],UIoptions!$P$14&gt;UIoptions!$S$14),1,0)</f>
        <v>1</v>
      </c>
      <c r="BE142" s="38">
        <f>IF(AND(PCdb[[#This Row],[SD]]&gt;UIoptions!$S$12,PCdb[[#This Row],[SD]]&lt;UIoptions!$T$12),1,0)</f>
        <v>0</v>
      </c>
      <c r="BF142" s="38">
        <f>IF(AND(PCdb[[#This Row],[SL]]&gt;UIoptions!$S$13,PCdb[[#This Row],[SL]]&lt;UIoptions!$T$13),1,0)</f>
        <v>0</v>
      </c>
      <c r="BG142" s="38">
        <f>IF(UIoptions!$N$35=1,IF(AND(PCdb[[#This Row],[SQ_SZ]]&gt;UIoptions!$S$15,PCdb[[#This Row],[SQ_SZ]]&lt;UIoptions!$T$15),1,0),1)</f>
        <v>0</v>
      </c>
      <c r="BH142" s="38">
        <f>IF(UIoptions!$N$35=2,IF(AND(PCdb[[#This Row],[ROUND_D]]&gt;UIoptions!$S$15,PCdb[[#This Row],[ROUND_D]]&lt;UIoptions!$T$15),1,0),1)</f>
        <v>1</v>
      </c>
      <c r="BI142" s="38">
        <f>IF(UIoptions!$N$75&lt;&gt;1,1,IF(AND(PCdb[[#This Row],[FL]]&gt;UIoptions!$S$16,PCdb[[#This Row],[FL]]&lt;UIoptions!$T$16),1,0))</f>
        <v>0</v>
      </c>
      <c r="BJ142" s="38" t="e">
        <f>IF(OR(UIoptions!$Q$18=PCdb[[#This Row],[THRU_SCREW]],UIoptions!$Q$18="NA"),1,0)</f>
        <v>#N/A</v>
      </c>
      <c r="BK142" s="38">
        <f>IF(OR(UIoptions!$P$19=PCdb[[#This Row],[THREAD_SZ]],UIoptions!$P$19="NA"),1,0)</f>
        <v>1</v>
      </c>
      <c r="BL142" s="38">
        <f>IF(UIoptions!$N$75=1,1,IF(AND(PCdb[[#This Row],[THREAD_L]]&gt;UIoptions!$S$17,PCdb[[#This Row],[THREAD_L]]&lt;UIoptions!$T$17),1,0))</f>
        <v>1</v>
      </c>
      <c r="BM142" s="38" t="e">
        <f>IF(SUM(PCdb[[#This Row],[BDhit]:[THREAD_Lhit]])=11,1,0)</f>
        <v>#N/A</v>
      </c>
      <c r="BN14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70505.5163760NA10M5NANA4</v>
      </c>
      <c r="BO142" s="38" t="e">
        <f>SUM(PCdb[[#This Row],[BDhit]:[THREAD_Lhit]])</f>
        <v>#N/A</v>
      </c>
    </row>
    <row r="143" spans="1:67" x14ac:dyDescent="0.25">
      <c r="A143" s="7">
        <v>138</v>
      </c>
      <c r="B143" s="93">
        <v>43.8</v>
      </c>
      <c r="C143" s="93">
        <v>22</v>
      </c>
      <c r="D143" s="93">
        <v>4</v>
      </c>
      <c r="E143" s="93">
        <v>6.35</v>
      </c>
      <c r="F143" s="93">
        <v>25.4</v>
      </c>
      <c r="G143" s="93">
        <v>42</v>
      </c>
      <c r="H143" s="93" t="s">
        <v>87</v>
      </c>
      <c r="I143" s="93">
        <v>4.8</v>
      </c>
      <c r="J143" s="93" t="s">
        <v>105</v>
      </c>
      <c r="K143" s="93" t="s">
        <v>87</v>
      </c>
      <c r="L143" s="93" t="s">
        <v>87</v>
      </c>
      <c r="M143" s="93">
        <v>4</v>
      </c>
      <c r="N143" s="38" t="s">
        <v>105</v>
      </c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>
        <f>IF(AND(PCdb[[#This Row],[BCD]]&gt;UIoptions!$S$10,PCdb[[#This Row],[BCD]]&lt;UIoptions!$T$10),1,0)</f>
        <v>0</v>
      </c>
      <c r="BC143" s="38">
        <f>IF(AND(PCdb[[#This Row],[PD]]&gt;UIoptions!$S$11,PCdb[[#This Row],[PD]]&lt;UIoptions!$T$11),1,0)</f>
        <v>0</v>
      </c>
      <c r="BD143" s="38">
        <f>IF(AND(UIoptions!$P$14&lt;=PCdb[[#This Row],[PL (MAX)]],UIoptions!$P$14&gt;UIoptions!$S$14),1,0)</f>
        <v>1</v>
      </c>
      <c r="BE143" s="38">
        <f>IF(AND(PCdb[[#This Row],[SD]]&gt;UIoptions!$S$12,PCdb[[#This Row],[SD]]&lt;UIoptions!$T$12),1,0)</f>
        <v>0</v>
      </c>
      <c r="BF143" s="38">
        <f>IF(AND(PCdb[[#This Row],[SL]]&gt;UIoptions!$S$13,PCdb[[#This Row],[SL]]&lt;UIoptions!$T$13),1,0)</f>
        <v>0</v>
      </c>
      <c r="BG143" s="38">
        <f>IF(UIoptions!$N$35=1,IF(AND(PCdb[[#This Row],[SQ_SZ]]&gt;UIoptions!$S$15,PCdb[[#This Row],[SQ_SZ]]&lt;UIoptions!$T$15),1,0),1)</f>
        <v>0</v>
      </c>
      <c r="BH143" s="38">
        <f>IF(UIoptions!$N$35=2,IF(AND(PCdb[[#This Row],[ROUND_D]]&gt;UIoptions!$S$15,PCdb[[#This Row],[ROUND_D]]&lt;UIoptions!$T$15),1,0),1)</f>
        <v>1</v>
      </c>
      <c r="BI143" s="38">
        <f>IF(UIoptions!$N$75&lt;&gt;1,1,IF(AND(PCdb[[#This Row],[FL]]&gt;UIoptions!$S$16,PCdb[[#This Row],[FL]]&lt;UIoptions!$T$16),1,0))</f>
        <v>0</v>
      </c>
      <c r="BJ143" s="38" t="e">
        <f>IF(OR(UIoptions!$Q$18=PCdb[[#This Row],[THRU_SCREW]],UIoptions!$Q$18="NA"),1,0)</f>
        <v>#N/A</v>
      </c>
      <c r="BK143" s="38">
        <f>IF(OR(UIoptions!$P$19=PCdb[[#This Row],[THREAD_SZ]],UIoptions!$P$19="NA"),1,0)</f>
        <v>1</v>
      </c>
      <c r="BL143" s="38">
        <f>IF(UIoptions!$N$75=1,1,IF(AND(PCdb[[#This Row],[THREAD_L]]&gt;UIoptions!$S$17,PCdb[[#This Row],[THREAD_L]]&lt;UIoptions!$T$17),1,0))</f>
        <v>1</v>
      </c>
      <c r="BM143" s="38" t="e">
        <f>IF(SUM(PCdb[[#This Row],[BDhit]:[THREAD_Lhit]])=11,1,0)</f>
        <v>#N/A</v>
      </c>
      <c r="BN14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43.82246.3525.442NA4.8M3NANA4</v>
      </c>
      <c r="BO143" s="38" t="e">
        <f>SUM(PCdb[[#This Row],[BDhit]:[THREAD_Lhit]])</f>
        <v>#N/A</v>
      </c>
    </row>
    <row r="144" spans="1:67" x14ac:dyDescent="0.25">
      <c r="A144" s="7">
        <v>139</v>
      </c>
      <c r="B144" s="93">
        <v>70</v>
      </c>
      <c r="C144" s="93">
        <v>50</v>
      </c>
      <c r="D144" s="93">
        <v>4</v>
      </c>
      <c r="E144" s="93">
        <v>16</v>
      </c>
      <c r="F144" s="93">
        <v>25</v>
      </c>
      <c r="G144" s="93">
        <v>60</v>
      </c>
      <c r="H144" s="93" t="s">
        <v>87</v>
      </c>
      <c r="I144" s="93">
        <v>10</v>
      </c>
      <c r="J144" s="93" t="s">
        <v>7</v>
      </c>
      <c r="K144" s="93" t="s">
        <v>87</v>
      </c>
      <c r="L144" s="93" t="s">
        <v>87</v>
      </c>
      <c r="M144" s="93">
        <v>4</v>
      </c>
      <c r="N144" s="38" t="s">
        <v>7</v>
      </c>
      <c r="O144" s="38"/>
      <c r="P144" s="38"/>
      <c r="Q144" s="38"/>
      <c r="R144" s="38"/>
      <c r="S144" s="38"/>
      <c r="T144" s="38"/>
      <c r="U144" s="38"/>
      <c r="V144" s="25">
        <v>41.7</v>
      </c>
      <c r="W144" s="38">
        <v>27</v>
      </c>
      <c r="X144" s="38" t="s">
        <v>87</v>
      </c>
      <c r="Y144" s="38" t="s">
        <v>130</v>
      </c>
      <c r="Z144" s="38" t="s">
        <v>172</v>
      </c>
      <c r="AA144" s="38">
        <v>45</v>
      </c>
      <c r="AB144" s="38">
        <v>90</v>
      </c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>
        <v>27</v>
      </c>
      <c r="AW144" s="38">
        <v>0</v>
      </c>
      <c r="AX144" s="38" t="s">
        <v>130</v>
      </c>
      <c r="AY144" s="38" t="s">
        <v>176</v>
      </c>
      <c r="AZ144" s="38">
        <v>45</v>
      </c>
      <c r="BA144" s="38">
        <v>90</v>
      </c>
      <c r="BB144" s="38">
        <f>IF(AND(PCdb[[#This Row],[BCD]]&gt;UIoptions!$S$10,PCdb[[#This Row],[BCD]]&lt;UIoptions!$T$10),1,0)</f>
        <v>0</v>
      </c>
      <c r="BC144" s="38">
        <f>IF(AND(PCdb[[#This Row],[PD]]&gt;UIoptions!$S$11,PCdb[[#This Row],[PD]]&lt;UIoptions!$T$11),1,0)</f>
        <v>0</v>
      </c>
      <c r="BD144" s="38">
        <f>IF(AND(UIoptions!$P$14&lt;=PCdb[[#This Row],[PL (MAX)]],UIoptions!$P$14&gt;UIoptions!$S$14),1,0)</f>
        <v>1</v>
      </c>
      <c r="BE144" s="38">
        <f>IF(AND(PCdb[[#This Row],[SD]]&gt;UIoptions!$S$12,PCdb[[#This Row],[SD]]&lt;UIoptions!$T$12),1,0)</f>
        <v>0</v>
      </c>
      <c r="BF144" s="38">
        <f>IF(AND(PCdb[[#This Row],[SL]]&gt;UIoptions!$S$13,PCdb[[#This Row],[SL]]&lt;UIoptions!$T$13),1,0)</f>
        <v>0</v>
      </c>
      <c r="BG144" s="38">
        <f>IF(UIoptions!$N$35=1,IF(AND(PCdb[[#This Row],[SQ_SZ]]&gt;UIoptions!$S$15,PCdb[[#This Row],[SQ_SZ]]&lt;UIoptions!$T$15),1,0),1)</f>
        <v>0</v>
      </c>
      <c r="BH144" s="38">
        <f>IF(UIoptions!$N$35=2,IF(AND(PCdb[[#This Row],[ROUND_D]]&gt;UIoptions!$S$15,PCdb[[#This Row],[ROUND_D]]&lt;UIoptions!$T$15),1,0),1)</f>
        <v>1</v>
      </c>
      <c r="BI144" s="38">
        <f>IF(UIoptions!$N$75&lt;&gt;1,1,IF(AND(PCdb[[#This Row],[FL]]&gt;UIoptions!$S$16,PCdb[[#This Row],[FL]]&lt;UIoptions!$T$16),1,0))</f>
        <v>0</v>
      </c>
      <c r="BJ144" s="38" t="e">
        <f>IF(OR(UIoptions!$Q$18=PCdb[[#This Row],[THRU_SCREW]],UIoptions!$Q$18="NA"),1,0)</f>
        <v>#N/A</v>
      </c>
      <c r="BK144" s="38">
        <f>IF(OR(UIoptions!$P$19=PCdb[[#This Row],[THREAD_SZ]],UIoptions!$P$19="NA"),1,0)</f>
        <v>1</v>
      </c>
      <c r="BL144" s="38">
        <f>IF(UIoptions!$N$75=1,1,IF(AND(PCdb[[#This Row],[THREAD_L]]&gt;UIoptions!$S$17,PCdb[[#This Row],[THREAD_L]]&lt;UIoptions!$T$17),1,0))</f>
        <v>1</v>
      </c>
      <c r="BM144" s="38" t="e">
        <f>IF(SUM(PCdb[[#This Row],[BDhit]:[THREAD_Lhit]])=11,1,0)</f>
        <v>#N/A</v>
      </c>
      <c r="BN14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70504162560NA10M4NANA4</v>
      </c>
      <c r="BO144" s="38" t="e">
        <f>SUM(PCdb[[#This Row],[BDhit]:[THREAD_Lhit]])</f>
        <v>#N/A</v>
      </c>
    </row>
    <row r="145" spans="1:67" x14ac:dyDescent="0.25">
      <c r="A145" s="7">
        <v>140</v>
      </c>
      <c r="B145" s="93">
        <v>52</v>
      </c>
      <c r="C145" s="93">
        <v>40</v>
      </c>
      <c r="D145" s="93">
        <v>4</v>
      </c>
      <c r="E145" s="93">
        <v>14</v>
      </c>
      <c r="F145" s="93">
        <v>35</v>
      </c>
      <c r="G145" s="93">
        <v>61</v>
      </c>
      <c r="H145" s="93" t="s">
        <v>87</v>
      </c>
      <c r="I145" s="93" t="s">
        <v>87</v>
      </c>
      <c r="J145" s="93" t="s">
        <v>87</v>
      </c>
      <c r="K145" s="93" t="s">
        <v>45</v>
      </c>
      <c r="L145" s="93">
        <v>8</v>
      </c>
      <c r="M145" s="93">
        <v>4</v>
      </c>
      <c r="N145" s="38">
        <v>6</v>
      </c>
      <c r="O145" s="38" t="s">
        <v>87</v>
      </c>
      <c r="P145" s="38" t="s">
        <v>87</v>
      </c>
      <c r="Q145" s="38" t="s">
        <v>87</v>
      </c>
      <c r="R145" s="38" t="s">
        <v>87</v>
      </c>
      <c r="S145" s="38" t="s">
        <v>87</v>
      </c>
      <c r="T145" s="38" t="s">
        <v>87</v>
      </c>
      <c r="U145" s="38" t="s">
        <v>87</v>
      </c>
      <c r="V145" s="38">
        <v>45.2</v>
      </c>
      <c r="W145" s="38" t="s">
        <v>87</v>
      </c>
      <c r="X145" s="38" t="s">
        <v>87</v>
      </c>
      <c r="Y145" s="38" t="s">
        <v>180</v>
      </c>
      <c r="Z145" s="38" t="s">
        <v>279</v>
      </c>
      <c r="AA145" s="38">
        <v>45</v>
      </c>
      <c r="AB145" s="38">
        <v>90</v>
      </c>
      <c r="AC145" s="38">
        <v>48.7</v>
      </c>
      <c r="AD145" s="38" t="s">
        <v>87</v>
      </c>
      <c r="AE145" s="38" t="s">
        <v>87</v>
      </c>
      <c r="AF145" s="38" t="s">
        <v>87</v>
      </c>
      <c r="AG145" s="38" t="s">
        <v>279</v>
      </c>
      <c r="AH145" s="38">
        <v>45</v>
      </c>
      <c r="AI145" s="38">
        <v>90</v>
      </c>
      <c r="AJ145" s="38" t="s">
        <v>87</v>
      </c>
      <c r="AK145" s="38" t="s">
        <v>87</v>
      </c>
      <c r="AL145" s="38" t="s">
        <v>87</v>
      </c>
      <c r="AM145" s="38" t="s">
        <v>87</v>
      </c>
      <c r="AN145" s="38" t="s">
        <v>87</v>
      </c>
      <c r="AO145" s="38" t="s">
        <v>87</v>
      </c>
      <c r="AP145" s="38" t="s">
        <v>87</v>
      </c>
      <c r="AQ145" s="38" t="s">
        <v>87</v>
      </c>
      <c r="AR145" s="38" t="s">
        <v>130</v>
      </c>
      <c r="AS145" s="38" t="s">
        <v>281</v>
      </c>
      <c r="AT145" s="38">
        <v>45</v>
      </c>
      <c r="AU145" s="38">
        <v>90</v>
      </c>
      <c r="AV145" s="38" t="s">
        <v>87</v>
      </c>
      <c r="AW145" s="38" t="s">
        <v>87</v>
      </c>
      <c r="AX145" s="38" t="s">
        <v>130</v>
      </c>
      <c r="AY145" s="38" t="s">
        <v>281</v>
      </c>
      <c r="AZ145" s="38">
        <v>45</v>
      </c>
      <c r="BA145" s="38">
        <v>90</v>
      </c>
      <c r="BB145" s="38">
        <f>IF(AND(PCdb[[#This Row],[BCD]]&gt;UIoptions!$S$10,PCdb[[#This Row],[BCD]]&lt;UIoptions!$T$10),1,0)</f>
        <v>0</v>
      </c>
      <c r="BC145" s="38">
        <f>IF(AND(PCdb[[#This Row],[PD]]&gt;UIoptions!$S$11,PCdb[[#This Row],[PD]]&lt;UIoptions!$T$11),1,0)</f>
        <v>0</v>
      </c>
      <c r="BD145" s="38">
        <f>IF(AND(UIoptions!$P$14&lt;=PCdb[[#This Row],[PL (MAX)]],UIoptions!$P$14&gt;UIoptions!$S$14),1,0)</f>
        <v>1</v>
      </c>
      <c r="BE145" s="38">
        <f>IF(AND(PCdb[[#This Row],[SD]]&gt;UIoptions!$S$12,PCdb[[#This Row],[SD]]&lt;UIoptions!$T$12),1,0)</f>
        <v>0</v>
      </c>
      <c r="BF145" s="38">
        <f>IF(AND(PCdb[[#This Row],[SL]]&gt;UIoptions!$S$13,PCdb[[#This Row],[SL]]&lt;UIoptions!$T$13),1,0)</f>
        <v>0</v>
      </c>
      <c r="BG145" s="38">
        <f>IF(UIoptions!$N$35=1,IF(AND(PCdb[[#This Row],[SQ_SZ]]&gt;UIoptions!$S$15,PCdb[[#This Row],[SQ_SZ]]&lt;UIoptions!$T$15),1,0),1)</f>
        <v>0</v>
      </c>
      <c r="BH145" s="38">
        <f>IF(UIoptions!$N$35=2,IF(AND(PCdb[[#This Row],[ROUND_D]]&gt;UIoptions!$S$15,PCdb[[#This Row],[ROUND_D]]&lt;UIoptions!$T$15),1,0),1)</f>
        <v>1</v>
      </c>
      <c r="BI145" s="38">
        <f>IF(UIoptions!$N$75&lt;&gt;1,1,IF(AND(PCdb[[#This Row],[FL]]&gt;UIoptions!$S$16,PCdb[[#This Row],[FL]]&lt;UIoptions!$T$16),1,0))</f>
        <v>0</v>
      </c>
      <c r="BJ145" s="38" t="e">
        <f>IF(OR(UIoptions!$Q$18=PCdb[[#This Row],[THRU_SCREW]],UIoptions!$Q$18="NA"),1,0)</f>
        <v>#N/A</v>
      </c>
      <c r="BK145" s="38">
        <f>IF(OR(UIoptions!$P$19=PCdb[[#This Row],[THREAD_SZ]],UIoptions!$P$19="NA"),1,0)</f>
        <v>1</v>
      </c>
      <c r="BL145" s="38">
        <f>IF(UIoptions!$N$75=1,1,IF(AND(PCdb[[#This Row],[THREAD_L]]&gt;UIoptions!$S$17,PCdb[[#This Row],[THREAD_L]]&lt;UIoptions!$T$17),1,0))</f>
        <v>1</v>
      </c>
      <c r="BM145" s="38" t="e">
        <f>IF(SUM(PCdb[[#This Row],[BDhit]:[THREAD_Lhit]])=11,1,0)</f>
        <v>#N/A</v>
      </c>
      <c r="BN14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52404143561NANANAM584</v>
      </c>
      <c r="BO145" s="38" t="e">
        <f>SUM(PCdb[[#This Row],[BDhit]:[THREAD_Lhit]])</f>
        <v>#N/A</v>
      </c>
    </row>
    <row r="146" spans="1:67" x14ac:dyDescent="0.25">
      <c r="A146" s="7">
        <v>141</v>
      </c>
      <c r="B146" s="93">
        <v>66.7</v>
      </c>
      <c r="C146" s="93">
        <v>38.1</v>
      </c>
      <c r="D146" s="93">
        <v>4</v>
      </c>
      <c r="E146" s="93">
        <v>6.35</v>
      </c>
      <c r="F146" s="93">
        <v>24</v>
      </c>
      <c r="G146" s="93">
        <v>56.4</v>
      </c>
      <c r="H146" s="93" t="s">
        <v>87</v>
      </c>
      <c r="I146" s="93">
        <v>5</v>
      </c>
      <c r="J146" s="93" t="s">
        <v>7</v>
      </c>
      <c r="K146" s="93" t="s">
        <v>87</v>
      </c>
      <c r="L146" s="93" t="s">
        <v>87</v>
      </c>
      <c r="M146" s="93">
        <v>4</v>
      </c>
      <c r="N146" s="38" t="s">
        <v>7</v>
      </c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>
        <v>23</v>
      </c>
      <c r="AK146" s="38">
        <v>0</v>
      </c>
      <c r="AL146" s="38" t="s">
        <v>130</v>
      </c>
      <c r="AM146" s="38" t="s">
        <v>177</v>
      </c>
      <c r="AN146" s="38">
        <v>45</v>
      </c>
      <c r="AO146" s="38">
        <v>90</v>
      </c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>
        <f>IF(AND(PCdb[[#This Row],[BCD]]&gt;UIoptions!$S$10,PCdb[[#This Row],[BCD]]&lt;UIoptions!$T$10),1,0)</f>
        <v>0</v>
      </c>
      <c r="BC146" s="38">
        <f>IF(AND(PCdb[[#This Row],[PD]]&gt;UIoptions!$S$11,PCdb[[#This Row],[PD]]&lt;UIoptions!$T$11),1,0)</f>
        <v>0</v>
      </c>
      <c r="BD146" s="38">
        <f>IF(AND(UIoptions!$P$14&lt;=PCdb[[#This Row],[PL (MAX)]],UIoptions!$P$14&gt;UIoptions!$S$14),1,0)</f>
        <v>1</v>
      </c>
      <c r="BE146" s="38">
        <f>IF(AND(PCdb[[#This Row],[SD]]&gt;UIoptions!$S$12,PCdb[[#This Row],[SD]]&lt;UIoptions!$T$12),1,0)</f>
        <v>0</v>
      </c>
      <c r="BF146" s="38">
        <f>IF(AND(PCdb[[#This Row],[SL]]&gt;UIoptions!$S$13,PCdb[[#This Row],[SL]]&lt;UIoptions!$T$13),1,0)</f>
        <v>0</v>
      </c>
      <c r="BG146" s="38">
        <f>IF(UIoptions!$N$35=1,IF(AND(PCdb[[#This Row],[SQ_SZ]]&gt;UIoptions!$S$15,PCdb[[#This Row],[SQ_SZ]]&lt;UIoptions!$T$15),1,0),1)</f>
        <v>0</v>
      </c>
      <c r="BH146" s="38">
        <f>IF(UIoptions!$N$35=2,IF(AND(PCdb[[#This Row],[ROUND_D]]&gt;UIoptions!$S$15,PCdb[[#This Row],[ROUND_D]]&lt;UIoptions!$T$15),1,0),1)</f>
        <v>1</v>
      </c>
      <c r="BI146" s="38">
        <f>IF(UIoptions!$N$75&lt;&gt;1,1,IF(AND(PCdb[[#This Row],[FL]]&gt;UIoptions!$S$16,PCdb[[#This Row],[FL]]&lt;UIoptions!$T$16),1,0))</f>
        <v>0</v>
      </c>
      <c r="BJ146" s="38" t="e">
        <f>IF(OR(UIoptions!$Q$18=PCdb[[#This Row],[THRU_SCREW]],UIoptions!$Q$18="NA"),1,0)</f>
        <v>#N/A</v>
      </c>
      <c r="BK146" s="38">
        <f>IF(OR(UIoptions!$P$19=PCdb[[#This Row],[THREAD_SZ]],UIoptions!$P$19="NA"),1,0)</f>
        <v>1</v>
      </c>
      <c r="BL146" s="38">
        <f>IF(UIoptions!$N$75=1,1,IF(AND(PCdb[[#This Row],[THREAD_L]]&gt;UIoptions!$S$17,PCdb[[#This Row],[THREAD_L]]&lt;UIoptions!$T$17),1,0))</f>
        <v>1</v>
      </c>
      <c r="BM146" s="38" t="e">
        <f>IF(SUM(PCdb[[#This Row],[BDhit]:[THREAD_Lhit]])=11,1,0)</f>
        <v>#N/A</v>
      </c>
      <c r="BN14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66.738.146.352456.4NA5M4NANA4</v>
      </c>
      <c r="BO146" s="38" t="e">
        <f>SUM(PCdb[[#This Row],[BDhit]:[THREAD_Lhit]])</f>
        <v>#N/A</v>
      </c>
    </row>
    <row r="147" spans="1:67" x14ac:dyDescent="0.25">
      <c r="A147" s="7">
        <v>142</v>
      </c>
      <c r="B147" s="93">
        <v>40</v>
      </c>
      <c r="C147" s="93">
        <v>25</v>
      </c>
      <c r="D147" s="93">
        <v>4</v>
      </c>
      <c r="E147" s="93">
        <v>8</v>
      </c>
      <c r="F147" s="93">
        <v>25</v>
      </c>
      <c r="G147" s="93" t="s">
        <v>87</v>
      </c>
      <c r="H147" s="93">
        <v>63</v>
      </c>
      <c r="I147" s="93" t="s">
        <v>87</v>
      </c>
      <c r="J147" s="93" t="s">
        <v>87</v>
      </c>
      <c r="K147" s="93" t="s">
        <v>45</v>
      </c>
      <c r="L147" s="93">
        <v>7</v>
      </c>
      <c r="M147" s="93">
        <v>4</v>
      </c>
      <c r="N147" s="38">
        <v>6</v>
      </c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>
        <f>IF(AND(PCdb[[#This Row],[BCD]]&gt;UIoptions!$S$10,PCdb[[#This Row],[BCD]]&lt;UIoptions!$T$10),1,0)</f>
        <v>0</v>
      </c>
      <c r="BC147" s="38">
        <f>IF(AND(PCdb[[#This Row],[PD]]&gt;UIoptions!$S$11,PCdb[[#This Row],[PD]]&lt;UIoptions!$T$11),1,0)</f>
        <v>0</v>
      </c>
      <c r="BD147" s="38">
        <f>IF(AND(UIoptions!$P$14&lt;=PCdb[[#This Row],[PL (MAX)]],UIoptions!$P$14&gt;UIoptions!$S$14),1,0)</f>
        <v>1</v>
      </c>
      <c r="BE147" s="38">
        <f>IF(AND(PCdb[[#This Row],[SD]]&gt;UIoptions!$S$12,PCdb[[#This Row],[SD]]&lt;UIoptions!$T$12),1,0)</f>
        <v>0</v>
      </c>
      <c r="BF147" s="38">
        <f>IF(AND(PCdb[[#This Row],[SL]]&gt;UIoptions!$S$13,PCdb[[#This Row],[SL]]&lt;UIoptions!$T$13),1,0)</f>
        <v>0</v>
      </c>
      <c r="BG147" s="38">
        <f>IF(UIoptions!$N$35=1,IF(AND(PCdb[[#This Row],[SQ_SZ]]&gt;UIoptions!$S$15,PCdb[[#This Row],[SQ_SZ]]&lt;UIoptions!$T$15),1,0),1)</f>
        <v>0</v>
      </c>
      <c r="BH147" s="38">
        <f>IF(UIoptions!$N$35=2,IF(AND(PCdb[[#This Row],[ROUND_D]]&gt;UIoptions!$S$15,PCdb[[#This Row],[ROUND_D]]&lt;UIoptions!$T$15),1,0),1)</f>
        <v>1</v>
      </c>
      <c r="BI147" s="38">
        <f>IF(UIoptions!$N$75&lt;&gt;1,1,IF(AND(PCdb[[#This Row],[FL]]&gt;UIoptions!$S$16,PCdb[[#This Row],[FL]]&lt;UIoptions!$T$16),1,0))</f>
        <v>0</v>
      </c>
      <c r="BJ147" s="38" t="e">
        <f>IF(OR(UIoptions!$Q$18=PCdb[[#This Row],[THRU_SCREW]],UIoptions!$Q$18="NA"),1,0)</f>
        <v>#N/A</v>
      </c>
      <c r="BK147" s="38">
        <f>IF(OR(UIoptions!$P$19=PCdb[[#This Row],[THREAD_SZ]],UIoptions!$P$19="NA"),1,0)</f>
        <v>1</v>
      </c>
      <c r="BL147" s="38">
        <f>IF(UIoptions!$N$75=1,1,IF(AND(PCdb[[#This Row],[THREAD_L]]&gt;UIoptions!$S$17,PCdb[[#This Row],[THREAD_L]]&lt;UIoptions!$T$17),1,0))</f>
        <v>1</v>
      </c>
      <c r="BM147" s="38" t="e">
        <f>IF(SUM(PCdb[[#This Row],[BDhit]:[THREAD_Lhit]])=11,1,0)</f>
        <v>#N/A</v>
      </c>
      <c r="BN14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40254825NA63NANAM574</v>
      </c>
      <c r="BO147" s="38" t="e">
        <f>SUM(PCdb[[#This Row],[BDhit]:[THREAD_Lhit]])</f>
        <v>#N/A</v>
      </c>
    </row>
    <row r="148" spans="1:67" x14ac:dyDescent="0.25">
      <c r="A148" s="7">
        <v>143</v>
      </c>
      <c r="B148" s="93">
        <v>70</v>
      </c>
      <c r="C148" s="93">
        <v>50</v>
      </c>
      <c r="D148" s="93">
        <v>4</v>
      </c>
      <c r="E148" s="93">
        <v>14</v>
      </c>
      <c r="F148" s="93">
        <v>26</v>
      </c>
      <c r="G148" s="93">
        <v>60</v>
      </c>
      <c r="H148" s="93" t="s">
        <v>87</v>
      </c>
      <c r="I148" s="93">
        <v>7</v>
      </c>
      <c r="J148" s="93" t="s">
        <v>45</v>
      </c>
      <c r="K148" s="93" t="s">
        <v>87</v>
      </c>
      <c r="L148" s="93" t="s">
        <v>87</v>
      </c>
      <c r="M148" s="93">
        <v>4</v>
      </c>
      <c r="N148" s="38" t="s">
        <v>45</v>
      </c>
      <c r="O148" s="38"/>
      <c r="P148" s="38"/>
      <c r="Q148" s="38"/>
      <c r="R148" s="38"/>
      <c r="S148" s="38"/>
      <c r="T148" s="38"/>
      <c r="U148" s="38"/>
      <c r="V148" s="38">
        <v>41.7</v>
      </c>
      <c r="W148" s="38">
        <v>28</v>
      </c>
      <c r="X148" s="38">
        <v>0</v>
      </c>
      <c r="Y148" s="38" t="s">
        <v>130</v>
      </c>
      <c r="Z148" s="38" t="s">
        <v>172</v>
      </c>
      <c r="AA148" s="38">
        <v>45</v>
      </c>
      <c r="AB148" s="38">
        <v>90</v>
      </c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>
        <f>IF(AND(PCdb[[#This Row],[BCD]]&gt;UIoptions!$S$10,PCdb[[#This Row],[BCD]]&lt;UIoptions!$T$10),1,0)</f>
        <v>0</v>
      </c>
      <c r="BC148" s="38">
        <f>IF(AND(PCdb[[#This Row],[PD]]&gt;UIoptions!$S$11,PCdb[[#This Row],[PD]]&lt;UIoptions!$T$11),1,0)</f>
        <v>0</v>
      </c>
      <c r="BD148" s="38">
        <f>IF(AND(UIoptions!$P$14&lt;=PCdb[[#This Row],[PL (MAX)]],UIoptions!$P$14&gt;UIoptions!$S$14),1,0)</f>
        <v>1</v>
      </c>
      <c r="BE148" s="38">
        <f>IF(AND(PCdb[[#This Row],[SD]]&gt;UIoptions!$S$12,PCdb[[#This Row],[SD]]&lt;UIoptions!$T$12),1,0)</f>
        <v>0</v>
      </c>
      <c r="BF148" s="38">
        <f>IF(AND(PCdb[[#This Row],[SL]]&gt;UIoptions!$S$13,PCdb[[#This Row],[SL]]&lt;UIoptions!$T$13),1,0)</f>
        <v>0</v>
      </c>
      <c r="BG148" s="38">
        <f>IF(UIoptions!$N$35=1,IF(AND(PCdb[[#This Row],[SQ_SZ]]&gt;UIoptions!$S$15,PCdb[[#This Row],[SQ_SZ]]&lt;UIoptions!$T$15),1,0),1)</f>
        <v>0</v>
      </c>
      <c r="BH148" s="38">
        <f>IF(UIoptions!$N$35=2,IF(AND(PCdb[[#This Row],[ROUND_D]]&gt;UIoptions!$S$15,PCdb[[#This Row],[ROUND_D]]&lt;UIoptions!$T$15),1,0),1)</f>
        <v>1</v>
      </c>
      <c r="BI148" s="38">
        <f>IF(UIoptions!$N$75&lt;&gt;1,1,IF(AND(PCdb[[#This Row],[FL]]&gt;UIoptions!$S$16,PCdb[[#This Row],[FL]]&lt;UIoptions!$T$16),1,0))</f>
        <v>0</v>
      </c>
      <c r="BJ148" s="38" t="e">
        <f>IF(OR(UIoptions!$Q$18=PCdb[[#This Row],[THRU_SCREW]],UIoptions!$Q$18="NA"),1,0)</f>
        <v>#N/A</v>
      </c>
      <c r="BK148" s="38">
        <f>IF(OR(UIoptions!$P$19=PCdb[[#This Row],[THREAD_SZ]],UIoptions!$P$19="NA"),1,0)</f>
        <v>1</v>
      </c>
      <c r="BL148" s="38">
        <f>IF(UIoptions!$N$75=1,1,IF(AND(PCdb[[#This Row],[THREAD_L]]&gt;UIoptions!$S$17,PCdb[[#This Row],[THREAD_L]]&lt;UIoptions!$T$17),1,0))</f>
        <v>1</v>
      </c>
      <c r="BM148" s="38" t="e">
        <f>IF(SUM(PCdb[[#This Row],[BDhit]:[THREAD_Lhit]])=11,1,0)</f>
        <v>#N/A</v>
      </c>
      <c r="BN14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70504142660NA7M5NANA4</v>
      </c>
      <c r="BO148" s="38" t="e">
        <f>SUM(PCdb[[#This Row],[BDhit]:[THREAD_Lhit]])</f>
        <v>#N/A</v>
      </c>
    </row>
    <row r="149" spans="1:67" x14ac:dyDescent="0.25">
      <c r="A149" s="7">
        <v>144</v>
      </c>
      <c r="B149" s="93">
        <v>52</v>
      </c>
      <c r="C149" s="93">
        <v>40</v>
      </c>
      <c r="D149" s="93">
        <v>4</v>
      </c>
      <c r="E149" s="93">
        <v>14</v>
      </c>
      <c r="F149" s="93">
        <v>35</v>
      </c>
      <c r="G149" s="93">
        <v>60</v>
      </c>
      <c r="H149" s="93" t="s">
        <v>87</v>
      </c>
      <c r="I149" s="93" t="s">
        <v>87</v>
      </c>
      <c r="J149" s="93" t="s">
        <v>87</v>
      </c>
      <c r="K149" s="93" t="s">
        <v>45</v>
      </c>
      <c r="L149" s="93">
        <v>10</v>
      </c>
      <c r="M149" s="93">
        <v>4</v>
      </c>
      <c r="N149" s="38">
        <v>6</v>
      </c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 t="s">
        <v>87</v>
      </c>
      <c r="AW149" s="38" t="s">
        <v>87</v>
      </c>
      <c r="AX149" s="38" t="s">
        <v>626</v>
      </c>
      <c r="AY149" s="38" t="s">
        <v>281</v>
      </c>
      <c r="AZ149" s="38">
        <v>45</v>
      </c>
      <c r="BA149" s="38">
        <v>90</v>
      </c>
      <c r="BB149" s="38">
        <f>IF(AND(PCdb[[#This Row],[BCD]]&gt;UIoptions!$S$10,PCdb[[#This Row],[BCD]]&lt;UIoptions!$T$10),1,0)</f>
        <v>0</v>
      </c>
      <c r="BC149" s="38">
        <f>IF(AND(PCdb[[#This Row],[PD]]&gt;UIoptions!$S$11,PCdb[[#This Row],[PD]]&lt;UIoptions!$T$11),1,0)</f>
        <v>0</v>
      </c>
      <c r="BD149" s="38">
        <f>IF(AND(UIoptions!$P$14&lt;=PCdb[[#This Row],[PL (MAX)]],UIoptions!$P$14&gt;UIoptions!$S$14),1,0)</f>
        <v>1</v>
      </c>
      <c r="BE149" s="38">
        <f>IF(AND(PCdb[[#This Row],[SD]]&gt;UIoptions!$S$12,PCdb[[#This Row],[SD]]&lt;UIoptions!$T$12),1,0)</f>
        <v>0</v>
      </c>
      <c r="BF149" s="38">
        <f>IF(AND(PCdb[[#This Row],[SL]]&gt;UIoptions!$S$13,PCdb[[#This Row],[SL]]&lt;UIoptions!$T$13),1,0)</f>
        <v>0</v>
      </c>
      <c r="BG149" s="38">
        <f>IF(UIoptions!$N$35=1,IF(AND(PCdb[[#This Row],[SQ_SZ]]&gt;UIoptions!$S$15,PCdb[[#This Row],[SQ_SZ]]&lt;UIoptions!$T$15),1,0),1)</f>
        <v>0</v>
      </c>
      <c r="BH149" s="38">
        <f>IF(UIoptions!$N$35=2,IF(AND(PCdb[[#This Row],[ROUND_D]]&gt;UIoptions!$S$15,PCdb[[#This Row],[ROUND_D]]&lt;UIoptions!$T$15),1,0),1)</f>
        <v>1</v>
      </c>
      <c r="BI149" s="38">
        <f>IF(UIoptions!$N$75&lt;&gt;1,1,IF(AND(PCdb[[#This Row],[FL]]&gt;UIoptions!$S$16,PCdb[[#This Row],[FL]]&lt;UIoptions!$T$16),1,0))</f>
        <v>0</v>
      </c>
      <c r="BJ149" s="38" t="e">
        <f>IF(OR(UIoptions!$Q$18=PCdb[[#This Row],[THRU_SCREW]],UIoptions!$Q$18="NA"),1,0)</f>
        <v>#N/A</v>
      </c>
      <c r="BK149" s="38">
        <f>IF(OR(UIoptions!$P$19=PCdb[[#This Row],[THREAD_SZ]],UIoptions!$P$19="NA"),1,0)</f>
        <v>1</v>
      </c>
      <c r="BL149" s="38">
        <f>IF(UIoptions!$N$75=1,1,IF(AND(PCdb[[#This Row],[THREAD_L]]&gt;UIoptions!$S$17,PCdb[[#This Row],[THREAD_L]]&lt;UIoptions!$T$17),1,0))</f>
        <v>1</v>
      </c>
      <c r="BM149" s="38" t="e">
        <f>IF(SUM(PCdb[[#This Row],[BDhit]:[THREAD_Lhit]])=11,1,0)</f>
        <v>#N/A</v>
      </c>
      <c r="BN14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52404143560NANANAM5104</v>
      </c>
      <c r="BO149" s="38" t="e">
        <f>SUM(PCdb[[#This Row],[BDhit]:[THREAD_Lhit]])</f>
        <v>#N/A</v>
      </c>
    </row>
    <row r="150" spans="1:67" x14ac:dyDescent="0.25">
      <c r="A150" s="7">
        <v>145</v>
      </c>
      <c r="B150" s="93">
        <v>66.7</v>
      </c>
      <c r="C150" s="93">
        <v>38.1</v>
      </c>
      <c r="D150" s="93">
        <v>4</v>
      </c>
      <c r="E150" s="93">
        <v>9.5299999999999994</v>
      </c>
      <c r="F150" s="93">
        <v>30.7</v>
      </c>
      <c r="G150" s="93">
        <v>57.7</v>
      </c>
      <c r="H150" s="93" t="s">
        <v>87</v>
      </c>
      <c r="I150" s="93">
        <v>7.5</v>
      </c>
      <c r="J150" s="93" t="s">
        <v>7</v>
      </c>
      <c r="K150" s="93" t="s">
        <v>87</v>
      </c>
      <c r="L150" s="93" t="s">
        <v>87</v>
      </c>
      <c r="M150" s="93">
        <v>4</v>
      </c>
      <c r="N150" s="38" t="s">
        <v>7</v>
      </c>
      <c r="O150" s="38"/>
      <c r="P150" s="38"/>
      <c r="Q150" s="38"/>
      <c r="R150" s="38"/>
      <c r="S150" s="38"/>
      <c r="T150" s="38"/>
      <c r="U150" s="38"/>
      <c r="V150" s="38">
        <v>41.7</v>
      </c>
      <c r="W150" s="38">
        <v>26</v>
      </c>
      <c r="X150" s="38">
        <v>0</v>
      </c>
      <c r="Y150" s="38" t="s">
        <v>130</v>
      </c>
      <c r="Z150" s="38" t="s">
        <v>172</v>
      </c>
      <c r="AA150" s="38">
        <v>45</v>
      </c>
      <c r="AB150" s="38">
        <v>90</v>
      </c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>
        <v>23</v>
      </c>
      <c r="AQ150" s="38">
        <v>0</v>
      </c>
      <c r="AR150" s="38" t="s">
        <v>130</v>
      </c>
      <c r="AS150" s="38" t="s">
        <v>176</v>
      </c>
      <c r="AT150" s="38">
        <v>45</v>
      </c>
      <c r="AU150" s="38">
        <v>90</v>
      </c>
      <c r="AV150" s="38"/>
      <c r="AW150" s="38"/>
      <c r="AX150" s="38"/>
      <c r="AY150" s="38"/>
      <c r="AZ150" s="38"/>
      <c r="BA150" s="38"/>
      <c r="BB150" s="38">
        <f>IF(AND(PCdb[[#This Row],[BCD]]&gt;UIoptions!$S$10,PCdb[[#This Row],[BCD]]&lt;UIoptions!$T$10),1,0)</f>
        <v>0</v>
      </c>
      <c r="BC150" s="38">
        <f>IF(AND(PCdb[[#This Row],[PD]]&gt;UIoptions!$S$11,PCdb[[#This Row],[PD]]&lt;UIoptions!$T$11),1,0)</f>
        <v>0</v>
      </c>
      <c r="BD150" s="38">
        <f>IF(AND(UIoptions!$P$14&lt;=PCdb[[#This Row],[PL (MAX)]],UIoptions!$P$14&gt;UIoptions!$S$14),1,0)</f>
        <v>1</v>
      </c>
      <c r="BE150" s="38">
        <f>IF(AND(PCdb[[#This Row],[SD]]&gt;UIoptions!$S$12,PCdb[[#This Row],[SD]]&lt;UIoptions!$T$12),1,0)</f>
        <v>0</v>
      </c>
      <c r="BF150" s="38">
        <f>IF(AND(PCdb[[#This Row],[SL]]&gt;UIoptions!$S$13,PCdb[[#This Row],[SL]]&lt;UIoptions!$T$13),1,0)</f>
        <v>0</v>
      </c>
      <c r="BG150" s="38">
        <f>IF(UIoptions!$N$35=1,IF(AND(PCdb[[#This Row],[SQ_SZ]]&gt;UIoptions!$S$15,PCdb[[#This Row],[SQ_SZ]]&lt;UIoptions!$T$15),1,0),1)</f>
        <v>0</v>
      </c>
      <c r="BH150" s="38">
        <f>IF(UIoptions!$N$35=2,IF(AND(PCdb[[#This Row],[ROUND_D]]&gt;UIoptions!$S$15,PCdb[[#This Row],[ROUND_D]]&lt;UIoptions!$T$15),1,0),1)</f>
        <v>1</v>
      </c>
      <c r="BI150" s="38">
        <f>IF(UIoptions!$N$75&lt;&gt;1,1,IF(AND(PCdb[[#This Row],[FL]]&gt;UIoptions!$S$16,PCdb[[#This Row],[FL]]&lt;UIoptions!$T$16),1,0))</f>
        <v>0</v>
      </c>
      <c r="BJ150" s="38" t="e">
        <f>IF(OR(UIoptions!$Q$18=PCdb[[#This Row],[THRU_SCREW]],UIoptions!$Q$18="NA"),1,0)</f>
        <v>#N/A</v>
      </c>
      <c r="BK150" s="38">
        <f>IF(OR(UIoptions!$P$19=PCdb[[#This Row],[THREAD_SZ]],UIoptions!$P$19="NA"),1,0)</f>
        <v>1</v>
      </c>
      <c r="BL150" s="38">
        <f>IF(UIoptions!$N$75=1,1,IF(AND(PCdb[[#This Row],[THREAD_L]]&gt;UIoptions!$S$17,PCdb[[#This Row],[THREAD_L]]&lt;UIoptions!$T$17),1,0))</f>
        <v>1</v>
      </c>
      <c r="BM150" s="38" t="e">
        <f>IF(SUM(PCdb[[#This Row],[BDhit]:[THREAD_Lhit]])=11,1,0)</f>
        <v>#N/A</v>
      </c>
      <c r="BN15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66.738.149.5330.757.7NA7.5M4NANA4</v>
      </c>
      <c r="BO150" s="38" t="e">
        <f>SUM(PCdb[[#This Row],[BDhit]:[THREAD_Lhit]])</f>
        <v>#N/A</v>
      </c>
    </row>
    <row r="151" spans="1:67" x14ac:dyDescent="0.25">
      <c r="A151" s="7">
        <v>146</v>
      </c>
      <c r="B151" s="93">
        <v>70</v>
      </c>
      <c r="C151" s="93">
        <v>50</v>
      </c>
      <c r="D151" s="93">
        <v>4</v>
      </c>
      <c r="E151" s="93">
        <v>14</v>
      </c>
      <c r="F151" s="93">
        <v>30</v>
      </c>
      <c r="G151" s="93">
        <v>60</v>
      </c>
      <c r="H151" s="93" t="s">
        <v>87</v>
      </c>
      <c r="I151" s="93">
        <v>8</v>
      </c>
      <c r="J151" s="93" t="s">
        <v>45</v>
      </c>
      <c r="K151" s="93" t="s">
        <v>87</v>
      </c>
      <c r="L151" s="93" t="s">
        <v>87</v>
      </c>
      <c r="M151" s="93">
        <v>4</v>
      </c>
      <c r="N151" s="38" t="s">
        <v>45</v>
      </c>
      <c r="O151" s="38"/>
      <c r="P151" s="38"/>
      <c r="Q151" s="38"/>
      <c r="R151" s="38"/>
      <c r="S151" s="38"/>
      <c r="T151" s="38"/>
      <c r="U151" s="38"/>
      <c r="V151" s="25">
        <v>45.2</v>
      </c>
      <c r="W151" s="38">
        <v>27</v>
      </c>
      <c r="X151" s="38" t="s">
        <v>87</v>
      </c>
      <c r="Y151" s="38" t="s">
        <v>130</v>
      </c>
      <c r="Z151" s="38" t="s">
        <v>172</v>
      </c>
      <c r="AA151" s="38">
        <v>45</v>
      </c>
      <c r="AB151" s="38">
        <v>90</v>
      </c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>
        <v>27</v>
      </c>
      <c r="AQ151" s="38">
        <v>0</v>
      </c>
      <c r="AR151" s="38" t="s">
        <v>130</v>
      </c>
      <c r="AS151" s="38" t="s">
        <v>176</v>
      </c>
      <c r="AT151" s="38">
        <v>45</v>
      </c>
      <c r="AU151" s="38">
        <v>90</v>
      </c>
      <c r="AV151" s="38">
        <v>28</v>
      </c>
      <c r="AW151" s="38" t="s">
        <v>87</v>
      </c>
      <c r="AX151" s="38" t="s">
        <v>130</v>
      </c>
      <c r="AY151" s="38" t="s">
        <v>176</v>
      </c>
      <c r="AZ151" s="38">
        <v>45</v>
      </c>
      <c r="BA151" s="38">
        <v>90</v>
      </c>
      <c r="BB151" s="38">
        <f>IF(AND(PCdb[[#This Row],[BCD]]&gt;UIoptions!$S$10,PCdb[[#This Row],[BCD]]&lt;UIoptions!$T$10),1,0)</f>
        <v>0</v>
      </c>
      <c r="BC151" s="38">
        <f>IF(AND(PCdb[[#This Row],[PD]]&gt;UIoptions!$S$11,PCdb[[#This Row],[PD]]&lt;UIoptions!$T$11),1,0)</f>
        <v>0</v>
      </c>
      <c r="BD151" s="38">
        <f>IF(AND(UIoptions!$P$14&lt;=PCdb[[#This Row],[PL (MAX)]],UIoptions!$P$14&gt;UIoptions!$S$14),1,0)</f>
        <v>1</v>
      </c>
      <c r="BE151" s="38">
        <f>IF(AND(PCdb[[#This Row],[SD]]&gt;UIoptions!$S$12,PCdb[[#This Row],[SD]]&lt;UIoptions!$T$12),1,0)</f>
        <v>0</v>
      </c>
      <c r="BF151" s="38">
        <f>IF(AND(PCdb[[#This Row],[SL]]&gt;UIoptions!$S$13,PCdb[[#This Row],[SL]]&lt;UIoptions!$T$13),1,0)</f>
        <v>0</v>
      </c>
      <c r="BG151" s="38">
        <f>IF(UIoptions!$N$35=1,IF(AND(PCdb[[#This Row],[SQ_SZ]]&gt;UIoptions!$S$15,PCdb[[#This Row],[SQ_SZ]]&lt;UIoptions!$T$15),1,0),1)</f>
        <v>0</v>
      </c>
      <c r="BH151" s="38">
        <f>IF(UIoptions!$N$35=2,IF(AND(PCdb[[#This Row],[ROUND_D]]&gt;UIoptions!$S$15,PCdb[[#This Row],[ROUND_D]]&lt;UIoptions!$T$15),1,0),1)</f>
        <v>1</v>
      </c>
      <c r="BI151" s="38">
        <f>IF(UIoptions!$N$75&lt;&gt;1,1,IF(AND(PCdb[[#This Row],[FL]]&gt;UIoptions!$S$16,PCdb[[#This Row],[FL]]&lt;UIoptions!$T$16),1,0))</f>
        <v>0</v>
      </c>
      <c r="BJ151" s="38" t="e">
        <f>IF(OR(UIoptions!$Q$18=PCdb[[#This Row],[THRU_SCREW]],UIoptions!$Q$18="NA"),1,0)</f>
        <v>#N/A</v>
      </c>
      <c r="BK151" s="38">
        <f>IF(OR(UIoptions!$P$19=PCdb[[#This Row],[THREAD_SZ]],UIoptions!$P$19="NA"),1,0)</f>
        <v>1</v>
      </c>
      <c r="BL151" s="38">
        <f>IF(UIoptions!$N$75=1,1,IF(AND(PCdb[[#This Row],[THREAD_L]]&gt;UIoptions!$S$17,PCdb[[#This Row],[THREAD_L]]&lt;UIoptions!$T$17),1,0))</f>
        <v>1</v>
      </c>
      <c r="BM151" s="38" t="e">
        <f>IF(SUM(PCdb[[#This Row],[BDhit]:[THREAD_Lhit]])=11,1,0)</f>
        <v>#N/A</v>
      </c>
      <c r="BN15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70504143060NA8M5NANA4</v>
      </c>
      <c r="BO151" s="38" t="e">
        <f>SUM(PCdb[[#This Row],[BDhit]:[THREAD_Lhit]])</f>
        <v>#N/A</v>
      </c>
    </row>
    <row r="152" spans="1:67" x14ac:dyDescent="0.25">
      <c r="A152" s="7">
        <v>147</v>
      </c>
      <c r="B152" s="93">
        <v>66.7</v>
      </c>
      <c r="C152" s="93">
        <v>38.1</v>
      </c>
      <c r="D152" s="93">
        <v>4</v>
      </c>
      <c r="E152" s="93">
        <v>6.35</v>
      </c>
      <c r="F152" s="93">
        <v>20.6</v>
      </c>
      <c r="G152" s="93">
        <v>56.4</v>
      </c>
      <c r="H152" s="93" t="s">
        <v>87</v>
      </c>
      <c r="I152" s="93">
        <v>4.8</v>
      </c>
      <c r="J152" s="93" t="s">
        <v>7</v>
      </c>
      <c r="K152" s="93" t="s">
        <v>87</v>
      </c>
      <c r="L152" s="93" t="s">
        <v>87</v>
      </c>
      <c r="M152" s="93">
        <v>4</v>
      </c>
      <c r="N152" s="38" t="s">
        <v>7</v>
      </c>
      <c r="O152" s="38">
        <v>38.700000000000003</v>
      </c>
      <c r="P152" s="38">
        <v>25</v>
      </c>
      <c r="Q152" s="38">
        <v>0</v>
      </c>
      <c r="R152" s="38" t="s">
        <v>130</v>
      </c>
      <c r="S152" s="38" t="s">
        <v>172</v>
      </c>
      <c r="T152" s="38">
        <v>45</v>
      </c>
      <c r="U152" s="38">
        <v>90</v>
      </c>
      <c r="V152" s="25">
        <v>45.2</v>
      </c>
      <c r="W152" s="38">
        <v>26</v>
      </c>
      <c r="X152" s="38" t="s">
        <v>87</v>
      </c>
      <c r="Y152" s="38" t="s">
        <v>130</v>
      </c>
      <c r="Z152" s="38" t="s">
        <v>172</v>
      </c>
      <c r="AA152" s="38">
        <v>45</v>
      </c>
      <c r="AB152" s="38">
        <v>90</v>
      </c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>
        <f>IF(AND(PCdb[[#This Row],[BCD]]&gt;UIoptions!$S$10,PCdb[[#This Row],[BCD]]&lt;UIoptions!$T$10),1,0)</f>
        <v>0</v>
      </c>
      <c r="BC152" s="38">
        <f>IF(AND(PCdb[[#This Row],[PD]]&gt;UIoptions!$S$11,PCdb[[#This Row],[PD]]&lt;UIoptions!$T$11),1,0)</f>
        <v>0</v>
      </c>
      <c r="BD152" s="38">
        <f>IF(AND(UIoptions!$P$14&lt;=PCdb[[#This Row],[PL (MAX)]],UIoptions!$P$14&gt;UIoptions!$S$14),1,0)</f>
        <v>1</v>
      </c>
      <c r="BE152" s="38">
        <f>IF(AND(PCdb[[#This Row],[SD]]&gt;UIoptions!$S$12,PCdb[[#This Row],[SD]]&lt;UIoptions!$T$12),1,0)</f>
        <v>0</v>
      </c>
      <c r="BF152" s="38">
        <f>IF(AND(PCdb[[#This Row],[SL]]&gt;UIoptions!$S$13,PCdb[[#This Row],[SL]]&lt;UIoptions!$T$13),1,0)</f>
        <v>0</v>
      </c>
      <c r="BG152" s="38">
        <f>IF(UIoptions!$N$35=1,IF(AND(PCdb[[#This Row],[SQ_SZ]]&gt;UIoptions!$S$15,PCdb[[#This Row],[SQ_SZ]]&lt;UIoptions!$T$15),1,0),1)</f>
        <v>0</v>
      </c>
      <c r="BH152" s="38">
        <f>IF(UIoptions!$N$35=2,IF(AND(PCdb[[#This Row],[ROUND_D]]&gt;UIoptions!$S$15,PCdb[[#This Row],[ROUND_D]]&lt;UIoptions!$T$15),1,0),1)</f>
        <v>1</v>
      </c>
      <c r="BI152" s="38">
        <f>IF(UIoptions!$N$75&lt;&gt;1,1,IF(AND(PCdb[[#This Row],[FL]]&gt;UIoptions!$S$16,PCdb[[#This Row],[FL]]&lt;UIoptions!$T$16),1,0))</f>
        <v>0</v>
      </c>
      <c r="BJ152" s="38" t="e">
        <f>IF(OR(UIoptions!$Q$18=PCdb[[#This Row],[THRU_SCREW]],UIoptions!$Q$18="NA"),1,0)</f>
        <v>#N/A</v>
      </c>
      <c r="BK152" s="38">
        <f>IF(OR(UIoptions!$P$19=PCdb[[#This Row],[THREAD_SZ]],UIoptions!$P$19="NA"),1,0)</f>
        <v>1</v>
      </c>
      <c r="BL152" s="38">
        <f>IF(UIoptions!$N$75=1,1,IF(AND(PCdb[[#This Row],[THREAD_L]]&gt;UIoptions!$S$17,PCdb[[#This Row],[THREAD_L]]&lt;UIoptions!$T$17),1,0))</f>
        <v>1</v>
      </c>
      <c r="BM152" s="38" t="e">
        <f>IF(SUM(PCdb[[#This Row],[BDhit]:[THREAD_Lhit]])=11,1,0)</f>
        <v>#N/A</v>
      </c>
      <c r="BN15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66.738.146.3520.656.4NA4.8M4NANA4</v>
      </c>
      <c r="BO152" s="38" t="e">
        <f>SUM(PCdb[[#This Row],[BDhit]:[THREAD_Lhit]])</f>
        <v>#N/A</v>
      </c>
    </row>
    <row r="153" spans="1:67" x14ac:dyDescent="0.25">
      <c r="A153" s="7">
        <v>148</v>
      </c>
      <c r="B153" s="93">
        <v>100</v>
      </c>
      <c r="C153" s="93">
        <v>80</v>
      </c>
      <c r="D153" s="93">
        <v>4</v>
      </c>
      <c r="E153" s="93">
        <v>14</v>
      </c>
      <c r="F153" s="93">
        <v>30</v>
      </c>
      <c r="G153" s="93">
        <v>86</v>
      </c>
      <c r="H153" s="93" t="s">
        <v>87</v>
      </c>
      <c r="I153" s="93">
        <v>11</v>
      </c>
      <c r="J153" s="93" t="s">
        <v>49</v>
      </c>
      <c r="K153" s="93" t="s">
        <v>87</v>
      </c>
      <c r="L153" s="93" t="s">
        <v>87</v>
      </c>
      <c r="M153" s="93">
        <v>4</v>
      </c>
      <c r="N153" s="38" t="s">
        <v>49</v>
      </c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 t="s">
        <v>627</v>
      </c>
      <c r="AW153" s="38">
        <v>0</v>
      </c>
      <c r="AX153" s="38" t="s">
        <v>130</v>
      </c>
      <c r="AY153" s="38" t="s">
        <v>177</v>
      </c>
      <c r="AZ153" s="38">
        <v>45</v>
      </c>
      <c r="BA153" s="38">
        <v>90</v>
      </c>
      <c r="BB153" s="38">
        <f>IF(AND(PCdb[[#This Row],[BCD]]&gt;UIoptions!$S$10,PCdb[[#This Row],[BCD]]&lt;UIoptions!$T$10),1,0)</f>
        <v>0</v>
      </c>
      <c r="BC153" s="38">
        <f>IF(AND(PCdb[[#This Row],[PD]]&gt;UIoptions!$S$11,PCdb[[#This Row],[PD]]&lt;UIoptions!$T$11),1,0)</f>
        <v>0</v>
      </c>
      <c r="BD153" s="38">
        <f>IF(AND(UIoptions!$P$14&lt;=PCdb[[#This Row],[PL (MAX)]],UIoptions!$P$14&gt;UIoptions!$S$14),1,0)</f>
        <v>1</v>
      </c>
      <c r="BE153" s="38">
        <f>IF(AND(PCdb[[#This Row],[SD]]&gt;UIoptions!$S$12,PCdb[[#This Row],[SD]]&lt;UIoptions!$T$12),1,0)</f>
        <v>0</v>
      </c>
      <c r="BF153" s="38">
        <f>IF(AND(PCdb[[#This Row],[SL]]&gt;UIoptions!$S$13,PCdb[[#This Row],[SL]]&lt;UIoptions!$T$13),1,0)</f>
        <v>0</v>
      </c>
      <c r="BG153" s="38">
        <f>IF(UIoptions!$N$35=1,IF(AND(PCdb[[#This Row],[SQ_SZ]]&gt;UIoptions!$S$15,PCdb[[#This Row],[SQ_SZ]]&lt;UIoptions!$T$15),1,0),1)</f>
        <v>0</v>
      </c>
      <c r="BH153" s="38">
        <f>IF(UIoptions!$N$35=2,IF(AND(PCdb[[#This Row],[ROUND_D]]&gt;UIoptions!$S$15,PCdb[[#This Row],[ROUND_D]]&lt;UIoptions!$T$15),1,0),1)</f>
        <v>1</v>
      </c>
      <c r="BI153" s="38">
        <f>IF(UIoptions!$N$75&lt;&gt;1,1,IF(AND(PCdb[[#This Row],[FL]]&gt;UIoptions!$S$16,PCdb[[#This Row],[FL]]&lt;UIoptions!$T$16),1,0))</f>
        <v>0</v>
      </c>
      <c r="BJ153" s="38" t="e">
        <f>IF(OR(UIoptions!$Q$18=PCdb[[#This Row],[THRU_SCREW]],UIoptions!$Q$18="NA"),1,0)</f>
        <v>#N/A</v>
      </c>
      <c r="BK153" s="38">
        <f>IF(OR(UIoptions!$P$19=PCdb[[#This Row],[THREAD_SZ]],UIoptions!$P$19="NA"),1,0)</f>
        <v>1</v>
      </c>
      <c r="BL153" s="38">
        <f>IF(UIoptions!$N$75=1,1,IF(AND(PCdb[[#This Row],[THREAD_L]]&gt;UIoptions!$S$17,PCdb[[#This Row],[THREAD_L]]&lt;UIoptions!$T$17),1,0))</f>
        <v>1</v>
      </c>
      <c r="BM153" s="38" t="e">
        <f>IF(SUM(PCdb[[#This Row],[BDhit]:[THREAD_Lhit]])=11,1,0)</f>
        <v>#N/A</v>
      </c>
      <c r="BN15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100804143086NA11M6NANA4</v>
      </c>
      <c r="BO153" s="38" t="e">
        <f>SUM(PCdb[[#This Row],[BDhit]:[THREAD_Lhit]])</f>
        <v>#N/A</v>
      </c>
    </row>
    <row r="154" spans="1:67" x14ac:dyDescent="0.25">
      <c r="A154" s="7">
        <v>149</v>
      </c>
      <c r="B154" s="93">
        <v>63</v>
      </c>
      <c r="C154" s="93">
        <v>40</v>
      </c>
      <c r="D154" s="93">
        <v>4</v>
      </c>
      <c r="E154" s="93">
        <v>9</v>
      </c>
      <c r="F154" s="93">
        <v>20</v>
      </c>
      <c r="G154" s="93">
        <v>58</v>
      </c>
      <c r="H154" s="93" t="s">
        <v>87</v>
      </c>
      <c r="I154" s="93">
        <v>7</v>
      </c>
      <c r="J154" s="93" t="s">
        <v>45</v>
      </c>
      <c r="K154" s="93" t="s">
        <v>87</v>
      </c>
      <c r="L154" s="93" t="s">
        <v>87</v>
      </c>
      <c r="M154" s="93">
        <v>4</v>
      </c>
      <c r="N154" s="38" t="s">
        <v>45</v>
      </c>
      <c r="O154" s="25">
        <v>38.700000000000003</v>
      </c>
      <c r="P154" s="38">
        <v>23</v>
      </c>
      <c r="Q154" s="38" t="s">
        <v>87</v>
      </c>
      <c r="R154" s="38" t="s">
        <v>130</v>
      </c>
      <c r="S154" s="38" t="s">
        <v>172</v>
      </c>
      <c r="T154" s="38">
        <v>45</v>
      </c>
      <c r="U154" s="38">
        <v>90</v>
      </c>
      <c r="V154" s="38">
        <v>45.2</v>
      </c>
      <c r="W154" s="38">
        <v>26</v>
      </c>
      <c r="X154" s="38">
        <v>0</v>
      </c>
      <c r="Y154" s="38" t="s">
        <v>130</v>
      </c>
      <c r="Z154" s="38" t="s">
        <v>172</v>
      </c>
      <c r="AA154" s="38">
        <v>45</v>
      </c>
      <c r="AB154" s="38">
        <v>90</v>
      </c>
      <c r="AC154" s="38"/>
      <c r="AD154" s="38"/>
      <c r="AE154" s="38"/>
      <c r="AF154" s="38"/>
      <c r="AG154" s="38"/>
      <c r="AH154" s="38"/>
      <c r="AI154" s="38"/>
      <c r="AJ154" s="38">
        <v>22</v>
      </c>
      <c r="AK154" s="38">
        <v>0</v>
      </c>
      <c r="AL154" s="38" t="s">
        <v>130</v>
      </c>
      <c r="AM154" s="38" t="s">
        <v>177</v>
      </c>
      <c r="AN154" s="38">
        <v>45</v>
      </c>
      <c r="AO154" s="38">
        <v>90</v>
      </c>
      <c r="AP154" s="38">
        <v>25</v>
      </c>
      <c r="AQ154" s="38" t="s">
        <v>87</v>
      </c>
      <c r="AR154" s="38" t="s">
        <v>130</v>
      </c>
      <c r="AS154" s="38" t="s">
        <v>176</v>
      </c>
      <c r="AT154" s="38">
        <v>45</v>
      </c>
      <c r="AU154" s="38">
        <v>90</v>
      </c>
      <c r="AV154" s="38"/>
      <c r="AW154" s="38"/>
      <c r="AX154" s="38"/>
      <c r="AY154" s="38"/>
      <c r="AZ154" s="38"/>
      <c r="BA154" s="38"/>
      <c r="BB154" s="38">
        <f>IF(AND(PCdb[[#This Row],[BCD]]&gt;UIoptions!$S$10,PCdb[[#This Row],[BCD]]&lt;UIoptions!$T$10),1,0)</f>
        <v>0</v>
      </c>
      <c r="BC154" s="38">
        <f>IF(AND(PCdb[[#This Row],[PD]]&gt;UIoptions!$S$11,PCdb[[#This Row],[PD]]&lt;UIoptions!$T$11),1,0)</f>
        <v>0</v>
      </c>
      <c r="BD154" s="38">
        <f>IF(AND(UIoptions!$P$14&lt;=PCdb[[#This Row],[PL (MAX)]],UIoptions!$P$14&gt;UIoptions!$S$14),1,0)</f>
        <v>1</v>
      </c>
      <c r="BE154" s="38">
        <f>IF(AND(PCdb[[#This Row],[SD]]&gt;UIoptions!$S$12,PCdb[[#This Row],[SD]]&lt;UIoptions!$T$12),1,0)</f>
        <v>0</v>
      </c>
      <c r="BF154" s="38">
        <f>IF(AND(PCdb[[#This Row],[SL]]&gt;UIoptions!$S$13,PCdb[[#This Row],[SL]]&lt;UIoptions!$T$13),1,0)</f>
        <v>0</v>
      </c>
      <c r="BG154" s="38">
        <f>IF(UIoptions!$N$35=1,IF(AND(PCdb[[#This Row],[SQ_SZ]]&gt;UIoptions!$S$15,PCdb[[#This Row],[SQ_SZ]]&lt;UIoptions!$T$15),1,0),1)</f>
        <v>0</v>
      </c>
      <c r="BH154" s="38">
        <f>IF(UIoptions!$N$35=2,IF(AND(PCdb[[#This Row],[ROUND_D]]&gt;UIoptions!$S$15,PCdb[[#This Row],[ROUND_D]]&lt;UIoptions!$T$15),1,0),1)</f>
        <v>1</v>
      </c>
      <c r="BI154" s="38">
        <f>IF(UIoptions!$N$75&lt;&gt;1,1,IF(AND(PCdb[[#This Row],[FL]]&gt;UIoptions!$S$16,PCdb[[#This Row],[FL]]&lt;UIoptions!$T$16),1,0))</f>
        <v>0</v>
      </c>
      <c r="BJ154" s="38" t="e">
        <f>IF(OR(UIoptions!$Q$18=PCdb[[#This Row],[THRU_SCREW]],UIoptions!$Q$18="NA"),1,0)</f>
        <v>#N/A</v>
      </c>
      <c r="BK154" s="38">
        <f>IF(OR(UIoptions!$P$19=PCdb[[#This Row],[THREAD_SZ]],UIoptions!$P$19="NA"),1,0)</f>
        <v>1</v>
      </c>
      <c r="BL154" s="38">
        <f>IF(UIoptions!$N$75=1,1,IF(AND(PCdb[[#This Row],[THREAD_L]]&gt;UIoptions!$S$17,PCdb[[#This Row],[THREAD_L]]&lt;UIoptions!$T$17),1,0))</f>
        <v>1</v>
      </c>
      <c r="BM154" s="38" t="e">
        <f>IF(SUM(PCdb[[#This Row],[BDhit]:[THREAD_Lhit]])=11,1,0)</f>
        <v>#N/A</v>
      </c>
      <c r="BN15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6340492058NA7M5NANA4</v>
      </c>
      <c r="BO154" s="38" t="e">
        <f>SUM(PCdb[[#This Row],[BDhit]:[THREAD_Lhit]])</f>
        <v>#N/A</v>
      </c>
    </row>
    <row r="155" spans="1:67" x14ac:dyDescent="0.25">
      <c r="A155" s="7">
        <v>150</v>
      </c>
      <c r="B155" s="93">
        <v>66.7</v>
      </c>
      <c r="C155" s="93">
        <v>38.1</v>
      </c>
      <c r="D155" s="93">
        <v>4</v>
      </c>
      <c r="E155" s="93">
        <v>9.5299999999999994</v>
      </c>
      <c r="F155" s="93">
        <v>20.6</v>
      </c>
      <c r="G155" s="93">
        <v>57.2</v>
      </c>
      <c r="H155" s="93" t="s">
        <v>87</v>
      </c>
      <c r="I155" s="93">
        <v>7.9</v>
      </c>
      <c r="J155" s="93" t="s">
        <v>7</v>
      </c>
      <c r="K155" s="93" t="s">
        <v>87</v>
      </c>
      <c r="L155" s="93" t="s">
        <v>87</v>
      </c>
      <c r="M155" s="93">
        <v>4</v>
      </c>
      <c r="N155" s="38" t="s">
        <v>7</v>
      </c>
      <c r="O155" s="38"/>
      <c r="P155" s="38"/>
      <c r="Q155" s="38"/>
      <c r="R155" s="38"/>
      <c r="S155" s="38"/>
      <c r="T155" s="38"/>
      <c r="U155" s="38"/>
      <c r="V155" s="38">
        <v>45.2</v>
      </c>
      <c r="W155" s="38" t="s">
        <v>87</v>
      </c>
      <c r="X155" s="38" t="s">
        <v>87</v>
      </c>
      <c r="Y155" s="38" t="s">
        <v>180</v>
      </c>
      <c r="Z155" s="38" t="s">
        <v>172</v>
      </c>
      <c r="AA155" s="38">
        <v>45</v>
      </c>
      <c r="AB155" s="38">
        <v>90</v>
      </c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>
        <f>IF(AND(PCdb[[#This Row],[BCD]]&gt;UIoptions!$S$10,PCdb[[#This Row],[BCD]]&lt;UIoptions!$T$10),1,0)</f>
        <v>0</v>
      </c>
      <c r="BC155" s="38">
        <f>IF(AND(PCdb[[#This Row],[PD]]&gt;UIoptions!$S$11,PCdb[[#This Row],[PD]]&lt;UIoptions!$T$11),1,0)</f>
        <v>0</v>
      </c>
      <c r="BD155" s="38">
        <f>IF(AND(UIoptions!$P$14&lt;=PCdb[[#This Row],[PL (MAX)]],UIoptions!$P$14&gt;UIoptions!$S$14),1,0)</f>
        <v>1</v>
      </c>
      <c r="BE155" s="38">
        <f>IF(AND(PCdb[[#This Row],[SD]]&gt;UIoptions!$S$12,PCdb[[#This Row],[SD]]&lt;UIoptions!$T$12),1,0)</f>
        <v>0</v>
      </c>
      <c r="BF155" s="38">
        <f>IF(AND(PCdb[[#This Row],[SL]]&gt;UIoptions!$S$13,PCdb[[#This Row],[SL]]&lt;UIoptions!$T$13),1,0)</f>
        <v>0</v>
      </c>
      <c r="BG155" s="38">
        <f>IF(UIoptions!$N$35=1,IF(AND(PCdb[[#This Row],[SQ_SZ]]&gt;UIoptions!$S$15,PCdb[[#This Row],[SQ_SZ]]&lt;UIoptions!$T$15),1,0),1)</f>
        <v>0</v>
      </c>
      <c r="BH155" s="38">
        <f>IF(UIoptions!$N$35=2,IF(AND(PCdb[[#This Row],[ROUND_D]]&gt;UIoptions!$S$15,PCdb[[#This Row],[ROUND_D]]&lt;UIoptions!$T$15),1,0),1)</f>
        <v>1</v>
      </c>
      <c r="BI155" s="38">
        <f>IF(UIoptions!$N$75&lt;&gt;1,1,IF(AND(PCdb[[#This Row],[FL]]&gt;UIoptions!$S$16,PCdb[[#This Row],[FL]]&lt;UIoptions!$T$16),1,0))</f>
        <v>0</v>
      </c>
      <c r="BJ155" s="38" t="e">
        <f>IF(OR(UIoptions!$Q$18=PCdb[[#This Row],[THRU_SCREW]],UIoptions!$Q$18="NA"),1,0)</f>
        <v>#N/A</v>
      </c>
      <c r="BK155" s="38">
        <f>IF(OR(UIoptions!$P$19=PCdb[[#This Row],[THREAD_SZ]],UIoptions!$P$19="NA"),1,0)</f>
        <v>1</v>
      </c>
      <c r="BL155" s="38">
        <f>IF(UIoptions!$N$75=1,1,IF(AND(PCdb[[#This Row],[THREAD_L]]&gt;UIoptions!$S$17,PCdb[[#This Row],[THREAD_L]]&lt;UIoptions!$T$17),1,0))</f>
        <v>1</v>
      </c>
      <c r="BM155" s="38" t="e">
        <f>IF(SUM(PCdb[[#This Row],[BDhit]:[THREAD_Lhit]])=11,1,0)</f>
        <v>#N/A</v>
      </c>
      <c r="BN15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66.738.149.5320.657.2NA7.9M4NANA4</v>
      </c>
      <c r="BO155" s="38" t="e">
        <f>SUM(PCdb[[#This Row],[BDhit]:[THREAD_Lhit]])</f>
        <v>#N/A</v>
      </c>
    </row>
    <row r="156" spans="1:67" x14ac:dyDescent="0.25">
      <c r="A156" s="7">
        <v>151</v>
      </c>
      <c r="B156" s="93">
        <v>68</v>
      </c>
      <c r="C156" s="93">
        <v>60</v>
      </c>
      <c r="D156" s="93">
        <v>18</v>
      </c>
      <c r="E156" s="93">
        <v>16</v>
      </c>
      <c r="F156" s="93">
        <v>48</v>
      </c>
      <c r="G156" s="93">
        <v>65</v>
      </c>
      <c r="H156" s="93" t="s">
        <v>87</v>
      </c>
      <c r="I156" s="93">
        <v>8</v>
      </c>
      <c r="J156" s="93" t="s">
        <v>45</v>
      </c>
      <c r="K156" s="93" t="s">
        <v>87</v>
      </c>
      <c r="L156" s="93" t="s">
        <v>87</v>
      </c>
      <c r="M156" s="93">
        <v>4</v>
      </c>
      <c r="N156" s="38" t="s">
        <v>45</v>
      </c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>
        <f>IF(AND(PCdb[[#This Row],[BCD]]&gt;UIoptions!$S$10,PCdb[[#This Row],[BCD]]&lt;UIoptions!$T$10),1,0)</f>
        <v>0</v>
      </c>
      <c r="BC156" s="38">
        <f>IF(AND(PCdb[[#This Row],[PD]]&gt;UIoptions!$S$11,PCdb[[#This Row],[PD]]&lt;UIoptions!$T$11),1,0)</f>
        <v>1</v>
      </c>
      <c r="BD156" s="38">
        <f>IF(AND(UIoptions!$P$14&lt;=PCdb[[#This Row],[PL (MAX)]],UIoptions!$P$14&gt;UIoptions!$S$14),1,0)</f>
        <v>1</v>
      </c>
      <c r="BE156" s="38">
        <f>IF(AND(PCdb[[#This Row],[SD]]&gt;UIoptions!$S$12,PCdb[[#This Row],[SD]]&lt;UIoptions!$T$12),1,0)</f>
        <v>0</v>
      </c>
      <c r="BF156" s="38">
        <f>IF(AND(PCdb[[#This Row],[SL]]&gt;UIoptions!$S$13,PCdb[[#This Row],[SL]]&lt;UIoptions!$T$13),1,0)</f>
        <v>0</v>
      </c>
      <c r="BG156" s="38">
        <f>IF(UIoptions!$N$35=1,IF(AND(PCdb[[#This Row],[SQ_SZ]]&gt;UIoptions!$S$15,PCdb[[#This Row],[SQ_SZ]]&lt;UIoptions!$T$15),1,0),1)</f>
        <v>0</v>
      </c>
      <c r="BH156" s="38">
        <f>IF(UIoptions!$N$35=2,IF(AND(PCdb[[#This Row],[ROUND_D]]&gt;UIoptions!$S$15,PCdb[[#This Row],[ROUND_D]]&lt;UIoptions!$T$15),1,0),1)</f>
        <v>1</v>
      </c>
      <c r="BI156" s="38">
        <f>IF(UIoptions!$N$75&lt;&gt;1,1,IF(AND(PCdb[[#This Row],[FL]]&gt;UIoptions!$S$16,PCdb[[#This Row],[FL]]&lt;UIoptions!$T$16),1,0))</f>
        <v>0</v>
      </c>
      <c r="BJ156" s="38" t="e">
        <f>IF(OR(UIoptions!$Q$18=PCdb[[#This Row],[THRU_SCREW]],UIoptions!$Q$18="NA"),1,0)</f>
        <v>#N/A</v>
      </c>
      <c r="BK156" s="38">
        <f>IF(OR(UIoptions!$P$19=PCdb[[#This Row],[THREAD_SZ]],UIoptions!$P$19="NA"),1,0)</f>
        <v>1</v>
      </c>
      <c r="BL156" s="38">
        <f>IF(UIoptions!$N$75=1,1,IF(AND(PCdb[[#This Row],[THREAD_L]]&gt;UIoptions!$S$17,PCdb[[#This Row],[THREAD_L]]&lt;UIoptions!$T$17),1,0))</f>
        <v>1</v>
      </c>
      <c r="BM156" s="38" t="e">
        <f>IF(SUM(PCdb[[#This Row],[BDhit]:[THREAD_Lhit]])=11,1,0)</f>
        <v>#N/A</v>
      </c>
      <c r="BN15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686018164865NA8M5NANA4</v>
      </c>
      <c r="BO156" s="38" t="e">
        <f>SUM(PCdb[[#This Row],[BDhit]:[THREAD_Lhit]])</f>
        <v>#N/A</v>
      </c>
    </row>
    <row r="157" spans="1:67" x14ac:dyDescent="0.25">
      <c r="A157" s="7">
        <v>152</v>
      </c>
      <c r="B157" s="93">
        <v>100</v>
      </c>
      <c r="C157" s="93">
        <v>80</v>
      </c>
      <c r="D157" s="93">
        <v>4</v>
      </c>
      <c r="E157" s="93">
        <v>14</v>
      </c>
      <c r="F157" s="93">
        <v>30</v>
      </c>
      <c r="G157" s="93">
        <v>82</v>
      </c>
      <c r="H157" s="93" t="s">
        <v>87</v>
      </c>
      <c r="I157" s="93">
        <v>10</v>
      </c>
      <c r="J157" s="93" t="s">
        <v>49</v>
      </c>
      <c r="K157" s="93" t="s">
        <v>87</v>
      </c>
      <c r="L157" s="93" t="s">
        <v>87</v>
      </c>
      <c r="M157" s="93">
        <v>4</v>
      </c>
      <c r="N157" s="38" t="s">
        <v>49</v>
      </c>
      <c r="O157" s="38" t="s">
        <v>87</v>
      </c>
      <c r="P157" s="38" t="s">
        <v>87</v>
      </c>
      <c r="Q157" s="38" t="s">
        <v>87</v>
      </c>
      <c r="R157" s="38" t="s">
        <v>87</v>
      </c>
      <c r="S157" s="38" t="s">
        <v>87</v>
      </c>
      <c r="T157" s="38" t="s">
        <v>87</v>
      </c>
      <c r="U157" s="38" t="s">
        <v>87</v>
      </c>
      <c r="V157" s="38" t="s">
        <v>87</v>
      </c>
      <c r="W157" s="38" t="s">
        <v>87</v>
      </c>
      <c r="X157" s="38" t="s">
        <v>87</v>
      </c>
      <c r="Y157" s="38" t="s">
        <v>87</v>
      </c>
      <c r="Z157" s="38" t="s">
        <v>87</v>
      </c>
      <c r="AA157" s="38" t="s">
        <v>87</v>
      </c>
      <c r="AB157" s="38" t="s">
        <v>87</v>
      </c>
      <c r="AC157" s="38"/>
      <c r="AD157" s="38"/>
      <c r="AE157" s="38"/>
      <c r="AF157" s="38"/>
      <c r="AG157" s="38"/>
      <c r="AH157" s="38"/>
      <c r="AI157" s="38"/>
      <c r="AJ157" s="38" t="s">
        <v>87</v>
      </c>
      <c r="AK157" s="38" t="s">
        <v>87</v>
      </c>
      <c r="AL157" s="38" t="s">
        <v>87</v>
      </c>
      <c r="AM157" s="38" t="s">
        <v>87</v>
      </c>
      <c r="AN157" s="38" t="s">
        <v>87</v>
      </c>
      <c r="AO157" s="38" t="s">
        <v>87</v>
      </c>
      <c r="AP157" s="38" t="s">
        <v>87</v>
      </c>
      <c r="AQ157" s="38" t="s">
        <v>87</v>
      </c>
      <c r="AR157" s="38" t="s">
        <v>87</v>
      </c>
      <c r="AS157" s="38" t="s">
        <v>87</v>
      </c>
      <c r="AT157" s="38" t="s">
        <v>87</v>
      </c>
      <c r="AU157" s="38" t="s">
        <v>87</v>
      </c>
      <c r="AV157" s="38" t="s">
        <v>87</v>
      </c>
      <c r="AW157" s="38" t="s">
        <v>87</v>
      </c>
      <c r="AX157" s="38" t="s">
        <v>180</v>
      </c>
      <c r="AY157" s="38" t="s">
        <v>177</v>
      </c>
      <c r="AZ157" s="38">
        <v>45</v>
      </c>
      <c r="BA157" s="38">
        <v>90</v>
      </c>
      <c r="BB157" s="38">
        <f>IF(AND(PCdb[[#This Row],[BCD]]&gt;UIoptions!$S$10,PCdb[[#This Row],[BCD]]&lt;UIoptions!$T$10),1,0)</f>
        <v>0</v>
      </c>
      <c r="BC157" s="38">
        <f>IF(AND(PCdb[[#This Row],[PD]]&gt;UIoptions!$S$11,PCdb[[#This Row],[PD]]&lt;UIoptions!$T$11),1,0)</f>
        <v>0</v>
      </c>
      <c r="BD157" s="38">
        <f>IF(AND(UIoptions!$P$14&lt;=PCdb[[#This Row],[PL (MAX)]],UIoptions!$P$14&gt;UIoptions!$S$14),1,0)</f>
        <v>1</v>
      </c>
      <c r="BE157" s="38">
        <f>IF(AND(PCdb[[#This Row],[SD]]&gt;UIoptions!$S$12,PCdb[[#This Row],[SD]]&lt;UIoptions!$T$12),1,0)</f>
        <v>0</v>
      </c>
      <c r="BF157" s="38">
        <f>IF(AND(PCdb[[#This Row],[SL]]&gt;UIoptions!$S$13,PCdb[[#This Row],[SL]]&lt;UIoptions!$T$13),1,0)</f>
        <v>0</v>
      </c>
      <c r="BG157" s="38">
        <f>IF(UIoptions!$N$35=1,IF(AND(PCdb[[#This Row],[SQ_SZ]]&gt;UIoptions!$S$15,PCdb[[#This Row],[SQ_SZ]]&lt;UIoptions!$T$15),1,0),1)</f>
        <v>0</v>
      </c>
      <c r="BH157" s="38">
        <f>IF(UIoptions!$N$35=2,IF(AND(PCdb[[#This Row],[ROUND_D]]&gt;UIoptions!$S$15,PCdb[[#This Row],[ROUND_D]]&lt;UIoptions!$T$15),1,0),1)</f>
        <v>1</v>
      </c>
      <c r="BI157" s="38">
        <f>IF(UIoptions!$N$75&lt;&gt;1,1,IF(AND(PCdb[[#This Row],[FL]]&gt;UIoptions!$S$16,PCdb[[#This Row],[FL]]&lt;UIoptions!$T$16),1,0))</f>
        <v>0</v>
      </c>
      <c r="BJ157" s="38" t="e">
        <f>IF(OR(UIoptions!$Q$18=PCdb[[#This Row],[THRU_SCREW]],UIoptions!$Q$18="NA"),1,0)</f>
        <v>#N/A</v>
      </c>
      <c r="BK157" s="38">
        <f>IF(OR(UIoptions!$P$19=PCdb[[#This Row],[THREAD_SZ]],UIoptions!$P$19="NA"),1,0)</f>
        <v>1</v>
      </c>
      <c r="BL157" s="38">
        <f>IF(UIoptions!$N$75=1,1,IF(AND(PCdb[[#This Row],[THREAD_L]]&gt;UIoptions!$S$17,PCdb[[#This Row],[THREAD_L]]&lt;UIoptions!$T$17),1,0))</f>
        <v>1</v>
      </c>
      <c r="BM157" s="38" t="e">
        <f>IF(SUM(PCdb[[#This Row],[BDhit]:[THREAD_Lhit]])=11,1,0)</f>
        <v>#N/A</v>
      </c>
      <c r="BN15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100804143082NA10M6NANA4</v>
      </c>
      <c r="BO157" s="38" t="e">
        <f>SUM(PCdb[[#This Row],[BDhit]:[THREAD_Lhit]])</f>
        <v>#N/A</v>
      </c>
    </row>
    <row r="158" spans="1:67" x14ac:dyDescent="0.25">
      <c r="A158" s="7">
        <v>153</v>
      </c>
      <c r="B158" s="93">
        <v>43.8</v>
      </c>
      <c r="C158" s="93">
        <v>22</v>
      </c>
      <c r="D158" s="93">
        <v>4</v>
      </c>
      <c r="E158" s="93">
        <v>5</v>
      </c>
      <c r="F158" s="93">
        <v>23.9</v>
      </c>
      <c r="G158" s="93">
        <v>42.2</v>
      </c>
      <c r="H158" s="93" t="s">
        <v>87</v>
      </c>
      <c r="I158" s="93" t="s">
        <v>87</v>
      </c>
      <c r="J158" s="93" t="s">
        <v>87</v>
      </c>
      <c r="K158" s="93" t="s">
        <v>105</v>
      </c>
      <c r="L158" s="93">
        <v>3.8</v>
      </c>
      <c r="M158" s="93">
        <v>4</v>
      </c>
      <c r="N158" s="38">
        <v>4</v>
      </c>
      <c r="O158" s="38">
        <v>36.200000000000003</v>
      </c>
      <c r="P158" s="38" t="s">
        <v>87</v>
      </c>
      <c r="Q158" s="38" t="s">
        <v>87</v>
      </c>
      <c r="R158" s="38" t="s">
        <v>130</v>
      </c>
      <c r="S158" s="38" t="s">
        <v>279</v>
      </c>
      <c r="T158" s="38">
        <v>45</v>
      </c>
      <c r="U158" s="38">
        <v>90</v>
      </c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 t="s">
        <v>87</v>
      </c>
      <c r="AK158" s="38" t="s">
        <v>87</v>
      </c>
      <c r="AL158" s="38" t="s">
        <v>130</v>
      </c>
      <c r="AM158" s="38" t="s">
        <v>281</v>
      </c>
      <c r="AN158" s="38">
        <v>45</v>
      </c>
      <c r="AO158" s="38">
        <v>90</v>
      </c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>
        <f>IF(AND(PCdb[[#This Row],[BCD]]&gt;UIoptions!$S$10,PCdb[[#This Row],[BCD]]&lt;UIoptions!$T$10),1,0)</f>
        <v>0</v>
      </c>
      <c r="BC158" s="38">
        <f>IF(AND(PCdb[[#This Row],[PD]]&gt;UIoptions!$S$11,PCdb[[#This Row],[PD]]&lt;UIoptions!$T$11),1,0)</f>
        <v>0</v>
      </c>
      <c r="BD158" s="38">
        <f>IF(AND(UIoptions!$P$14&lt;=PCdb[[#This Row],[PL (MAX)]],UIoptions!$P$14&gt;UIoptions!$S$14),1,0)</f>
        <v>1</v>
      </c>
      <c r="BE158" s="38">
        <f>IF(AND(PCdb[[#This Row],[SD]]&gt;UIoptions!$S$12,PCdb[[#This Row],[SD]]&lt;UIoptions!$T$12),1,0)</f>
        <v>0</v>
      </c>
      <c r="BF158" s="38">
        <f>IF(AND(PCdb[[#This Row],[SL]]&gt;UIoptions!$S$13,PCdb[[#This Row],[SL]]&lt;UIoptions!$T$13),1,0)</f>
        <v>0</v>
      </c>
      <c r="BG158" s="38">
        <f>IF(UIoptions!$N$35=1,IF(AND(PCdb[[#This Row],[SQ_SZ]]&gt;UIoptions!$S$15,PCdb[[#This Row],[SQ_SZ]]&lt;UIoptions!$T$15),1,0),1)</f>
        <v>0</v>
      </c>
      <c r="BH158" s="38">
        <f>IF(UIoptions!$N$35=2,IF(AND(PCdb[[#This Row],[ROUND_D]]&gt;UIoptions!$S$15,PCdb[[#This Row],[ROUND_D]]&lt;UIoptions!$T$15),1,0),1)</f>
        <v>1</v>
      </c>
      <c r="BI158" s="38">
        <f>IF(UIoptions!$N$75&lt;&gt;1,1,IF(AND(PCdb[[#This Row],[FL]]&gt;UIoptions!$S$16,PCdb[[#This Row],[FL]]&lt;UIoptions!$T$16),1,0))</f>
        <v>0</v>
      </c>
      <c r="BJ158" s="38" t="e">
        <f>IF(OR(UIoptions!$Q$18=PCdb[[#This Row],[THRU_SCREW]],UIoptions!$Q$18="NA"),1,0)</f>
        <v>#N/A</v>
      </c>
      <c r="BK158" s="38">
        <f>IF(OR(UIoptions!$P$19=PCdb[[#This Row],[THREAD_SZ]],UIoptions!$P$19="NA"),1,0)</f>
        <v>1</v>
      </c>
      <c r="BL158" s="38">
        <f>IF(UIoptions!$N$75=1,1,IF(AND(PCdb[[#This Row],[THREAD_L]]&gt;UIoptions!$S$17,PCdb[[#This Row],[THREAD_L]]&lt;UIoptions!$T$17),1,0))</f>
        <v>1</v>
      </c>
      <c r="BM158" s="38" t="e">
        <f>IF(SUM(PCdb[[#This Row],[BDhit]:[THREAD_Lhit]])=11,1,0)</f>
        <v>#N/A</v>
      </c>
      <c r="BN15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43.8224523.942.2NANANAM33.84</v>
      </c>
      <c r="BO158" s="38" t="e">
        <f>SUM(PCdb[[#This Row],[BDhit]:[THREAD_Lhit]])</f>
        <v>#N/A</v>
      </c>
    </row>
    <row r="159" spans="1:67" x14ac:dyDescent="0.25">
      <c r="A159" s="7">
        <v>154</v>
      </c>
      <c r="B159" s="93">
        <v>66.7</v>
      </c>
      <c r="C159" s="93">
        <v>38.1</v>
      </c>
      <c r="D159" s="93">
        <v>4</v>
      </c>
      <c r="E159" s="93">
        <v>8</v>
      </c>
      <c r="F159" s="93">
        <v>20.6</v>
      </c>
      <c r="G159" s="93">
        <v>60.5</v>
      </c>
      <c r="H159" s="93" t="s">
        <v>87</v>
      </c>
      <c r="I159" s="93">
        <v>7</v>
      </c>
      <c r="J159" s="93" t="s">
        <v>7</v>
      </c>
      <c r="K159" s="93" t="s">
        <v>87</v>
      </c>
      <c r="L159" s="93" t="s">
        <v>87</v>
      </c>
      <c r="M159" s="93">
        <v>4</v>
      </c>
      <c r="N159" s="38" t="s">
        <v>7</v>
      </c>
      <c r="O159" s="38">
        <v>38.700000000000003</v>
      </c>
      <c r="P159" s="38">
        <v>22</v>
      </c>
      <c r="Q159" s="38">
        <v>0</v>
      </c>
      <c r="R159" s="38" t="s">
        <v>130</v>
      </c>
      <c r="S159" s="38" t="s">
        <v>172</v>
      </c>
      <c r="T159" s="38">
        <v>45</v>
      </c>
      <c r="U159" s="38">
        <v>90</v>
      </c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>
        <v>23</v>
      </c>
      <c r="AK159" s="38">
        <v>0</v>
      </c>
      <c r="AL159" s="38" t="s">
        <v>130</v>
      </c>
      <c r="AM159" s="38" t="s">
        <v>177</v>
      </c>
      <c r="AN159" s="38">
        <v>45</v>
      </c>
      <c r="AO159" s="38">
        <v>90</v>
      </c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>
        <f>IF(AND(PCdb[[#This Row],[BCD]]&gt;UIoptions!$S$10,PCdb[[#This Row],[BCD]]&lt;UIoptions!$T$10),1,0)</f>
        <v>0</v>
      </c>
      <c r="BC159" s="38">
        <f>IF(AND(PCdb[[#This Row],[PD]]&gt;UIoptions!$S$11,PCdb[[#This Row],[PD]]&lt;UIoptions!$T$11),1,0)</f>
        <v>0</v>
      </c>
      <c r="BD159" s="38">
        <f>IF(AND(UIoptions!$P$14&lt;=PCdb[[#This Row],[PL (MAX)]],UIoptions!$P$14&gt;UIoptions!$S$14),1,0)</f>
        <v>1</v>
      </c>
      <c r="BE159" s="38">
        <f>IF(AND(PCdb[[#This Row],[SD]]&gt;UIoptions!$S$12,PCdb[[#This Row],[SD]]&lt;UIoptions!$T$12),1,0)</f>
        <v>0</v>
      </c>
      <c r="BF159" s="38">
        <f>IF(AND(PCdb[[#This Row],[SL]]&gt;UIoptions!$S$13,PCdb[[#This Row],[SL]]&lt;UIoptions!$T$13),1,0)</f>
        <v>0</v>
      </c>
      <c r="BG159" s="38">
        <f>IF(UIoptions!$N$35=1,IF(AND(PCdb[[#This Row],[SQ_SZ]]&gt;UIoptions!$S$15,PCdb[[#This Row],[SQ_SZ]]&lt;UIoptions!$T$15),1,0),1)</f>
        <v>0</v>
      </c>
      <c r="BH159" s="38">
        <f>IF(UIoptions!$N$35=2,IF(AND(PCdb[[#This Row],[ROUND_D]]&gt;UIoptions!$S$15,PCdb[[#This Row],[ROUND_D]]&lt;UIoptions!$T$15),1,0),1)</f>
        <v>1</v>
      </c>
      <c r="BI159" s="38">
        <f>IF(UIoptions!$N$75&lt;&gt;1,1,IF(AND(PCdb[[#This Row],[FL]]&gt;UIoptions!$S$16,PCdb[[#This Row],[FL]]&lt;UIoptions!$T$16),1,0))</f>
        <v>0</v>
      </c>
      <c r="BJ159" s="38" t="e">
        <f>IF(OR(UIoptions!$Q$18=PCdb[[#This Row],[THRU_SCREW]],UIoptions!$Q$18="NA"),1,0)</f>
        <v>#N/A</v>
      </c>
      <c r="BK159" s="38">
        <f>IF(OR(UIoptions!$P$19=PCdb[[#This Row],[THREAD_SZ]],UIoptions!$P$19="NA"),1,0)</f>
        <v>1</v>
      </c>
      <c r="BL159" s="38">
        <f>IF(UIoptions!$N$75=1,1,IF(AND(PCdb[[#This Row],[THREAD_L]]&gt;UIoptions!$S$17,PCdb[[#This Row],[THREAD_L]]&lt;UIoptions!$T$17),1,0))</f>
        <v>1</v>
      </c>
      <c r="BM159" s="38" t="e">
        <f>IF(SUM(PCdb[[#This Row],[BDhit]:[THREAD_Lhit]])=11,1,0)</f>
        <v>#N/A</v>
      </c>
      <c r="BN15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66.738.14820.660.5NA7M4NANA4</v>
      </c>
      <c r="BO159" s="38" t="e">
        <f>SUM(PCdb[[#This Row],[BDhit]:[THREAD_Lhit]])</f>
        <v>#N/A</v>
      </c>
    </row>
    <row r="160" spans="1:67" x14ac:dyDescent="0.25">
      <c r="A160" s="7">
        <v>155</v>
      </c>
      <c r="B160" s="93">
        <v>66.7</v>
      </c>
      <c r="C160" s="93">
        <v>38.1</v>
      </c>
      <c r="D160" s="93">
        <v>4</v>
      </c>
      <c r="E160" s="93">
        <v>8</v>
      </c>
      <c r="F160" s="93">
        <v>24</v>
      </c>
      <c r="G160" s="93">
        <v>50</v>
      </c>
      <c r="H160" s="93" t="s">
        <v>87</v>
      </c>
      <c r="I160" s="93">
        <v>5</v>
      </c>
      <c r="J160" s="93" t="s">
        <v>7</v>
      </c>
      <c r="K160" s="93" t="s">
        <v>87</v>
      </c>
      <c r="L160" s="93" t="s">
        <v>87</v>
      </c>
      <c r="M160" s="93">
        <v>4</v>
      </c>
      <c r="N160" s="38" t="s">
        <v>7</v>
      </c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>
        <f>IF(AND(PCdb[[#This Row],[BCD]]&gt;UIoptions!$S$10,PCdb[[#This Row],[BCD]]&lt;UIoptions!$T$10),1,0)</f>
        <v>0</v>
      </c>
      <c r="BC160" s="38">
        <f>IF(AND(PCdb[[#This Row],[PD]]&gt;UIoptions!$S$11,PCdb[[#This Row],[PD]]&lt;UIoptions!$T$11),1,0)</f>
        <v>0</v>
      </c>
      <c r="BD160" s="38">
        <f>IF(AND(UIoptions!$P$14&lt;=PCdb[[#This Row],[PL (MAX)]],UIoptions!$P$14&gt;UIoptions!$S$14),1,0)</f>
        <v>1</v>
      </c>
      <c r="BE160" s="38">
        <f>IF(AND(PCdb[[#This Row],[SD]]&gt;UIoptions!$S$12,PCdb[[#This Row],[SD]]&lt;UIoptions!$T$12),1,0)</f>
        <v>0</v>
      </c>
      <c r="BF160" s="38">
        <f>IF(AND(PCdb[[#This Row],[SL]]&gt;UIoptions!$S$13,PCdb[[#This Row],[SL]]&lt;UIoptions!$T$13),1,0)</f>
        <v>0</v>
      </c>
      <c r="BG160" s="38">
        <f>IF(UIoptions!$N$35=1,IF(AND(PCdb[[#This Row],[SQ_SZ]]&gt;UIoptions!$S$15,PCdb[[#This Row],[SQ_SZ]]&lt;UIoptions!$T$15),1,0),1)</f>
        <v>0</v>
      </c>
      <c r="BH160" s="38">
        <f>IF(UIoptions!$N$35=2,IF(AND(PCdb[[#This Row],[ROUND_D]]&gt;UIoptions!$S$15,PCdb[[#This Row],[ROUND_D]]&lt;UIoptions!$T$15),1,0),1)</f>
        <v>1</v>
      </c>
      <c r="BI160" s="38">
        <f>IF(UIoptions!$N$75&lt;&gt;1,1,IF(AND(PCdb[[#This Row],[FL]]&gt;UIoptions!$S$16,PCdb[[#This Row],[FL]]&lt;UIoptions!$T$16),1,0))</f>
        <v>0</v>
      </c>
      <c r="BJ160" s="38" t="e">
        <f>IF(OR(UIoptions!$Q$18=PCdb[[#This Row],[THRU_SCREW]],UIoptions!$Q$18="NA"),1,0)</f>
        <v>#N/A</v>
      </c>
      <c r="BK160" s="38">
        <f>IF(OR(UIoptions!$P$19=PCdb[[#This Row],[THREAD_SZ]],UIoptions!$P$19="NA"),1,0)</f>
        <v>1</v>
      </c>
      <c r="BL160" s="38">
        <f>IF(UIoptions!$N$75=1,1,IF(AND(PCdb[[#This Row],[THREAD_L]]&gt;UIoptions!$S$17,PCdb[[#This Row],[THREAD_L]]&lt;UIoptions!$T$17),1,0))</f>
        <v>1</v>
      </c>
      <c r="BM160" s="38" t="e">
        <f>IF(SUM(PCdb[[#This Row],[BDhit]:[THREAD_Lhit]])=11,1,0)</f>
        <v>#N/A</v>
      </c>
      <c r="BN16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66.738.1482450NA5M4NANA4</v>
      </c>
      <c r="BO160" s="38" t="e">
        <f>SUM(PCdb[[#This Row],[BDhit]:[THREAD_Lhit]])</f>
        <v>#N/A</v>
      </c>
    </row>
    <row r="161" spans="1:67" x14ac:dyDescent="0.25">
      <c r="A161" s="7">
        <v>156</v>
      </c>
      <c r="B161" s="93">
        <v>50.8</v>
      </c>
      <c r="C161" s="93">
        <v>21</v>
      </c>
      <c r="D161" s="93">
        <v>4</v>
      </c>
      <c r="E161" s="93">
        <v>10</v>
      </c>
      <c r="F161" s="93">
        <v>31</v>
      </c>
      <c r="G161" s="93" t="s">
        <v>87</v>
      </c>
      <c r="H161" s="93" t="s">
        <v>87</v>
      </c>
      <c r="I161" s="93" t="s">
        <v>87</v>
      </c>
      <c r="J161" s="93" t="s">
        <v>87</v>
      </c>
      <c r="K161" s="93" t="s">
        <v>49</v>
      </c>
      <c r="L161" s="93">
        <v>16</v>
      </c>
      <c r="M161" s="93">
        <v>3</v>
      </c>
      <c r="N161" s="38" t="s">
        <v>49</v>
      </c>
      <c r="O161" s="38"/>
      <c r="P161" s="38"/>
      <c r="Q161" s="38"/>
      <c r="R161" s="38"/>
      <c r="S161" s="38"/>
      <c r="T161" s="38"/>
      <c r="U161" s="38"/>
      <c r="V161" s="38">
        <v>41.7</v>
      </c>
      <c r="W161" s="38" t="s">
        <v>87</v>
      </c>
      <c r="X161" s="38" t="s">
        <v>87</v>
      </c>
      <c r="Y161" s="38" t="s">
        <v>180</v>
      </c>
      <c r="Z161" s="38" t="s">
        <v>279</v>
      </c>
      <c r="AA161" s="38">
        <v>0</v>
      </c>
      <c r="AB161" s="38">
        <v>120</v>
      </c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>
        <f>IF(AND(PCdb[[#This Row],[BCD]]&gt;UIoptions!$S$10,PCdb[[#This Row],[BCD]]&lt;UIoptions!$T$10),1,0)</f>
        <v>0</v>
      </c>
      <c r="BC161" s="38">
        <f>IF(AND(PCdb[[#This Row],[PD]]&gt;UIoptions!$S$11,PCdb[[#This Row],[PD]]&lt;UIoptions!$T$11),1,0)</f>
        <v>0</v>
      </c>
      <c r="BD161" s="38">
        <f>IF(AND(UIoptions!$P$14&lt;=PCdb[[#This Row],[PL (MAX)]],UIoptions!$P$14&gt;UIoptions!$S$14),1,0)</f>
        <v>1</v>
      </c>
      <c r="BE161" s="38">
        <f>IF(AND(PCdb[[#This Row],[SD]]&gt;UIoptions!$S$12,PCdb[[#This Row],[SD]]&lt;UIoptions!$T$12),1,0)</f>
        <v>0</v>
      </c>
      <c r="BF161" s="38">
        <f>IF(AND(PCdb[[#This Row],[SL]]&gt;UIoptions!$S$13,PCdb[[#This Row],[SL]]&lt;UIoptions!$T$13),1,0)</f>
        <v>0</v>
      </c>
      <c r="BG161" s="38">
        <f>IF(UIoptions!$N$35=1,IF(AND(PCdb[[#This Row],[SQ_SZ]]&gt;UIoptions!$S$15,PCdb[[#This Row],[SQ_SZ]]&lt;UIoptions!$T$15),1,0),1)</f>
        <v>0</v>
      </c>
      <c r="BH161" s="38">
        <f>IF(UIoptions!$N$35=2,IF(AND(PCdb[[#This Row],[ROUND_D]]&gt;UIoptions!$S$15,PCdb[[#This Row],[ROUND_D]]&lt;UIoptions!$T$15),1,0),1)</f>
        <v>1</v>
      </c>
      <c r="BI161" s="38">
        <f>IF(UIoptions!$N$75&lt;&gt;1,1,IF(AND(PCdb[[#This Row],[FL]]&gt;UIoptions!$S$16,PCdb[[#This Row],[FL]]&lt;UIoptions!$T$16),1,0))</f>
        <v>0</v>
      </c>
      <c r="BJ161" s="38" t="e">
        <f>IF(OR(UIoptions!$Q$18=PCdb[[#This Row],[THRU_SCREW]],UIoptions!$Q$18="NA"),1,0)</f>
        <v>#N/A</v>
      </c>
      <c r="BK161" s="38">
        <f>IF(OR(UIoptions!$P$19=PCdb[[#This Row],[THREAD_SZ]],UIoptions!$P$19="NA"),1,0)</f>
        <v>1</v>
      </c>
      <c r="BL161" s="38">
        <f>IF(UIoptions!$N$75=1,1,IF(AND(PCdb[[#This Row],[THREAD_L]]&gt;UIoptions!$S$17,PCdb[[#This Row],[THREAD_L]]&lt;UIoptions!$T$17),1,0))</f>
        <v>1</v>
      </c>
      <c r="BM161" s="38" t="e">
        <f>IF(SUM(PCdb[[#This Row],[BDhit]:[THREAD_Lhit]])=11,1,0)</f>
        <v>#N/A</v>
      </c>
      <c r="BN16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50.82141031NANANANAM6163</v>
      </c>
      <c r="BO161" s="38" t="e">
        <f>SUM(PCdb[[#This Row],[BDhit]:[THREAD_Lhit]])</f>
        <v>#N/A</v>
      </c>
    </row>
    <row r="162" spans="1:67" x14ac:dyDescent="0.25">
      <c r="A162" s="7">
        <v>157</v>
      </c>
      <c r="B162" s="93">
        <v>43.8</v>
      </c>
      <c r="C162" s="93">
        <v>22</v>
      </c>
      <c r="D162" s="93">
        <v>4</v>
      </c>
      <c r="E162" s="93">
        <v>5</v>
      </c>
      <c r="F162" s="93">
        <v>20</v>
      </c>
      <c r="G162" s="93">
        <v>39</v>
      </c>
      <c r="H162" s="93" t="s">
        <v>87</v>
      </c>
      <c r="I162" s="93" t="s">
        <v>87</v>
      </c>
      <c r="J162" s="93" t="s">
        <v>87</v>
      </c>
      <c r="K162" s="93" t="s">
        <v>105</v>
      </c>
      <c r="L162" s="93">
        <v>4.5</v>
      </c>
      <c r="M162" s="93">
        <v>4</v>
      </c>
      <c r="N162" s="38">
        <v>4</v>
      </c>
      <c r="O162" s="38">
        <v>38.700000000000003</v>
      </c>
      <c r="P162" s="38" t="s">
        <v>87</v>
      </c>
      <c r="Q162" s="38" t="s">
        <v>87</v>
      </c>
      <c r="R162" s="38" t="s">
        <v>130</v>
      </c>
      <c r="S162" s="38" t="s">
        <v>279</v>
      </c>
      <c r="T162" s="38">
        <v>45</v>
      </c>
      <c r="U162" s="38">
        <v>90</v>
      </c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>
        <f>IF(AND(PCdb[[#This Row],[BCD]]&gt;UIoptions!$S$10,PCdb[[#This Row],[BCD]]&lt;UIoptions!$T$10),1,0)</f>
        <v>0</v>
      </c>
      <c r="BC162" s="38">
        <f>IF(AND(PCdb[[#This Row],[PD]]&gt;UIoptions!$S$11,PCdb[[#This Row],[PD]]&lt;UIoptions!$T$11),1,0)</f>
        <v>0</v>
      </c>
      <c r="BD162" s="38">
        <f>IF(AND(UIoptions!$P$14&lt;=PCdb[[#This Row],[PL (MAX)]],UIoptions!$P$14&gt;UIoptions!$S$14),1,0)</f>
        <v>1</v>
      </c>
      <c r="BE162" s="38">
        <f>IF(AND(PCdb[[#This Row],[SD]]&gt;UIoptions!$S$12,PCdb[[#This Row],[SD]]&lt;UIoptions!$T$12),1,0)</f>
        <v>0</v>
      </c>
      <c r="BF162" s="38">
        <f>IF(AND(PCdb[[#This Row],[SL]]&gt;UIoptions!$S$13,PCdb[[#This Row],[SL]]&lt;UIoptions!$T$13),1,0)</f>
        <v>0</v>
      </c>
      <c r="BG162" s="38">
        <f>IF(UIoptions!$N$35=1,IF(AND(PCdb[[#This Row],[SQ_SZ]]&gt;UIoptions!$S$15,PCdb[[#This Row],[SQ_SZ]]&lt;UIoptions!$T$15),1,0),1)</f>
        <v>0</v>
      </c>
      <c r="BH162" s="38">
        <f>IF(UIoptions!$N$35=2,IF(AND(PCdb[[#This Row],[ROUND_D]]&gt;UIoptions!$S$15,PCdb[[#This Row],[ROUND_D]]&lt;UIoptions!$T$15),1,0),1)</f>
        <v>1</v>
      </c>
      <c r="BI162" s="38">
        <f>IF(UIoptions!$N$75&lt;&gt;1,1,IF(AND(PCdb[[#This Row],[FL]]&gt;UIoptions!$S$16,PCdb[[#This Row],[FL]]&lt;UIoptions!$T$16),1,0))</f>
        <v>0</v>
      </c>
      <c r="BJ162" s="38" t="e">
        <f>IF(OR(UIoptions!$Q$18=PCdb[[#This Row],[THRU_SCREW]],UIoptions!$Q$18="NA"),1,0)</f>
        <v>#N/A</v>
      </c>
      <c r="BK162" s="38">
        <f>IF(OR(UIoptions!$P$19=PCdb[[#This Row],[THREAD_SZ]],UIoptions!$P$19="NA"),1,0)</f>
        <v>1</v>
      </c>
      <c r="BL162" s="38">
        <f>IF(UIoptions!$N$75=1,1,IF(AND(PCdb[[#This Row],[THREAD_L]]&gt;UIoptions!$S$17,PCdb[[#This Row],[THREAD_L]]&lt;UIoptions!$T$17),1,0))</f>
        <v>1</v>
      </c>
      <c r="BM162" s="38" t="e">
        <f>IF(SUM(PCdb[[#This Row],[BDhit]:[THREAD_Lhit]])=11,1,0)</f>
        <v>#N/A</v>
      </c>
      <c r="BN16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43.822452039NANANAM34.54</v>
      </c>
      <c r="BO162" s="38" t="e">
        <f>SUM(PCdb[[#This Row],[BDhit]:[THREAD_Lhit]])</f>
        <v>#N/A</v>
      </c>
    </row>
    <row r="163" spans="1:67" x14ac:dyDescent="0.25">
      <c r="A163" s="7">
        <v>158</v>
      </c>
      <c r="B163" s="93">
        <v>98.4</v>
      </c>
      <c r="C163" s="93">
        <v>73.03</v>
      </c>
      <c r="D163" s="93">
        <v>4</v>
      </c>
      <c r="E163" s="93">
        <v>12.7</v>
      </c>
      <c r="F163" s="93">
        <v>25.4</v>
      </c>
      <c r="G163" s="93">
        <v>82.6</v>
      </c>
      <c r="H163" s="93" t="s">
        <v>87</v>
      </c>
      <c r="I163" s="93">
        <v>6.4</v>
      </c>
      <c r="J163" s="93" t="s">
        <v>45</v>
      </c>
      <c r="K163" s="93" t="s">
        <v>87</v>
      </c>
      <c r="L163" s="93" t="s">
        <v>87</v>
      </c>
      <c r="M163" s="93">
        <v>4</v>
      </c>
      <c r="N163" s="38" t="s">
        <v>45</v>
      </c>
      <c r="O163" s="38"/>
      <c r="P163" s="38"/>
      <c r="Q163" s="38"/>
      <c r="R163" s="38"/>
      <c r="S163" s="38"/>
      <c r="T163" s="38"/>
      <c r="U163" s="38"/>
      <c r="V163" s="38" t="s">
        <v>634</v>
      </c>
      <c r="W163" s="38">
        <v>37.5</v>
      </c>
      <c r="X163" s="38">
        <v>0</v>
      </c>
      <c r="Y163" s="38" t="s">
        <v>633</v>
      </c>
      <c r="Z163" s="38" t="s">
        <v>172</v>
      </c>
      <c r="AA163" s="38">
        <v>45</v>
      </c>
      <c r="AB163" s="38">
        <v>90</v>
      </c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>
        <f>IF(AND(PCdb[[#This Row],[BCD]]&gt;UIoptions!$S$10,PCdb[[#This Row],[BCD]]&lt;UIoptions!$T$10),1,0)</f>
        <v>0</v>
      </c>
      <c r="BC163" s="38">
        <f>IF(AND(PCdb[[#This Row],[PD]]&gt;UIoptions!$S$11,PCdb[[#This Row],[PD]]&lt;UIoptions!$T$11),1,0)</f>
        <v>0</v>
      </c>
      <c r="BD163" s="38">
        <f>IF(AND(UIoptions!$P$14&lt;=PCdb[[#This Row],[PL (MAX)]],UIoptions!$P$14&gt;UIoptions!$S$14),1,0)</f>
        <v>1</v>
      </c>
      <c r="BE163" s="38">
        <f>IF(AND(PCdb[[#This Row],[SD]]&gt;UIoptions!$S$12,PCdb[[#This Row],[SD]]&lt;UIoptions!$T$12),1,0)</f>
        <v>0</v>
      </c>
      <c r="BF163" s="38">
        <f>IF(AND(PCdb[[#This Row],[SL]]&gt;UIoptions!$S$13,PCdb[[#This Row],[SL]]&lt;UIoptions!$T$13),1,0)</f>
        <v>0</v>
      </c>
      <c r="BG163" s="38">
        <f>IF(UIoptions!$N$35=1,IF(AND(PCdb[[#This Row],[SQ_SZ]]&gt;UIoptions!$S$15,PCdb[[#This Row],[SQ_SZ]]&lt;UIoptions!$T$15),1,0),1)</f>
        <v>0</v>
      </c>
      <c r="BH163" s="38">
        <f>IF(UIoptions!$N$35=2,IF(AND(PCdb[[#This Row],[ROUND_D]]&gt;UIoptions!$S$15,PCdb[[#This Row],[ROUND_D]]&lt;UIoptions!$T$15),1,0),1)</f>
        <v>1</v>
      </c>
      <c r="BI163" s="38">
        <f>IF(UIoptions!$N$75&lt;&gt;1,1,IF(AND(PCdb[[#This Row],[FL]]&gt;UIoptions!$S$16,PCdb[[#This Row],[FL]]&lt;UIoptions!$T$16),1,0))</f>
        <v>0</v>
      </c>
      <c r="BJ163" s="38" t="e">
        <f>IF(OR(UIoptions!$Q$18=PCdb[[#This Row],[THRU_SCREW]],UIoptions!$Q$18="NA"),1,0)</f>
        <v>#N/A</v>
      </c>
      <c r="BK163" s="38">
        <f>IF(OR(UIoptions!$P$19=PCdb[[#This Row],[THREAD_SZ]],UIoptions!$P$19="NA"),1,0)</f>
        <v>1</v>
      </c>
      <c r="BL163" s="38">
        <f>IF(UIoptions!$N$75=1,1,IF(AND(PCdb[[#This Row],[THREAD_L]]&gt;UIoptions!$S$17,PCdb[[#This Row],[THREAD_L]]&lt;UIoptions!$T$17),1,0))</f>
        <v>1</v>
      </c>
      <c r="BM163" s="38" t="e">
        <f>IF(SUM(PCdb[[#This Row],[BDhit]:[THREAD_Lhit]])=11,1,0)</f>
        <v>#N/A</v>
      </c>
      <c r="BN16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98.473.03412.725.482.6NA6.4M5NANA4</v>
      </c>
      <c r="BO163" s="38" t="e">
        <f>SUM(PCdb[[#This Row],[BDhit]:[THREAD_Lhit]])</f>
        <v>#N/A</v>
      </c>
    </row>
    <row r="164" spans="1:67" x14ac:dyDescent="0.25">
      <c r="A164" s="7">
        <v>159</v>
      </c>
      <c r="B164" s="93">
        <v>100</v>
      </c>
      <c r="C164" s="93">
        <v>80</v>
      </c>
      <c r="D164" s="93">
        <v>4</v>
      </c>
      <c r="E164" s="93">
        <v>14</v>
      </c>
      <c r="F164" s="93">
        <v>30</v>
      </c>
      <c r="G164" s="93">
        <v>88</v>
      </c>
      <c r="H164" s="93" t="s">
        <v>87</v>
      </c>
      <c r="I164" s="93">
        <v>7.5</v>
      </c>
      <c r="J164" s="93" t="s">
        <v>49</v>
      </c>
      <c r="K164" s="93" t="s">
        <v>87</v>
      </c>
      <c r="L164" s="93" t="s">
        <v>87</v>
      </c>
      <c r="M164" s="93">
        <v>4</v>
      </c>
      <c r="N164" s="38" t="s">
        <v>49</v>
      </c>
      <c r="O164" s="38" t="s">
        <v>87</v>
      </c>
      <c r="P164" s="38" t="s">
        <v>87</v>
      </c>
      <c r="Q164" s="38" t="s">
        <v>87</v>
      </c>
      <c r="R164" s="38" t="s">
        <v>87</v>
      </c>
      <c r="S164" s="38" t="s">
        <v>87</v>
      </c>
      <c r="T164" s="38" t="s">
        <v>87</v>
      </c>
      <c r="U164" s="38" t="s">
        <v>87</v>
      </c>
      <c r="V164" s="38" t="s">
        <v>87</v>
      </c>
      <c r="W164" s="38" t="s">
        <v>87</v>
      </c>
      <c r="X164" s="38" t="s">
        <v>87</v>
      </c>
      <c r="Y164" s="38" t="s">
        <v>87</v>
      </c>
      <c r="Z164" s="38" t="s">
        <v>87</v>
      </c>
      <c r="AA164" s="38" t="s">
        <v>87</v>
      </c>
      <c r="AB164" s="38" t="s">
        <v>87</v>
      </c>
      <c r="AC164" s="38">
        <v>48.7</v>
      </c>
      <c r="AD164" s="38">
        <v>42</v>
      </c>
      <c r="AE164" s="38">
        <v>0</v>
      </c>
      <c r="AF164" s="38" t="s">
        <v>635</v>
      </c>
      <c r="AG164" s="38" t="s">
        <v>172</v>
      </c>
      <c r="AH164" s="38">
        <v>45</v>
      </c>
      <c r="AI164" s="38">
        <v>90</v>
      </c>
      <c r="AJ164" s="38" t="s">
        <v>87</v>
      </c>
      <c r="AK164" s="38" t="s">
        <v>87</v>
      </c>
      <c r="AL164" s="38" t="s">
        <v>87</v>
      </c>
      <c r="AM164" s="38" t="s">
        <v>87</v>
      </c>
      <c r="AN164" s="38" t="s">
        <v>87</v>
      </c>
      <c r="AO164" s="38" t="s">
        <v>87</v>
      </c>
      <c r="AP164" s="38" t="s">
        <v>87</v>
      </c>
      <c r="AQ164" s="38" t="s">
        <v>87</v>
      </c>
      <c r="AR164" s="38" t="s">
        <v>87</v>
      </c>
      <c r="AS164" s="38" t="s">
        <v>87</v>
      </c>
      <c r="AT164" s="38" t="s">
        <v>87</v>
      </c>
      <c r="AU164" s="38" t="s">
        <v>87</v>
      </c>
      <c r="AV164" s="38">
        <v>42</v>
      </c>
      <c r="AW164" s="38" t="s">
        <v>87</v>
      </c>
      <c r="AX164" s="38" t="s">
        <v>130</v>
      </c>
      <c r="AY164" s="38" t="s">
        <v>177</v>
      </c>
      <c r="AZ164" s="38">
        <v>45</v>
      </c>
      <c r="BA164" s="38">
        <v>90</v>
      </c>
      <c r="BB164" s="38">
        <f>IF(AND(PCdb[[#This Row],[BCD]]&gt;UIoptions!$S$10,PCdb[[#This Row],[BCD]]&lt;UIoptions!$T$10),1,0)</f>
        <v>0</v>
      </c>
      <c r="BC164" s="38">
        <f>IF(AND(PCdb[[#This Row],[PD]]&gt;UIoptions!$S$11,PCdb[[#This Row],[PD]]&lt;UIoptions!$T$11),1,0)</f>
        <v>0</v>
      </c>
      <c r="BD164" s="38">
        <f>IF(AND(UIoptions!$P$14&lt;=PCdb[[#This Row],[PL (MAX)]],UIoptions!$P$14&gt;UIoptions!$S$14),1,0)</f>
        <v>1</v>
      </c>
      <c r="BE164" s="38">
        <f>IF(AND(PCdb[[#This Row],[SD]]&gt;UIoptions!$S$12,PCdb[[#This Row],[SD]]&lt;UIoptions!$T$12),1,0)</f>
        <v>0</v>
      </c>
      <c r="BF164" s="38">
        <f>IF(AND(PCdb[[#This Row],[SL]]&gt;UIoptions!$S$13,PCdb[[#This Row],[SL]]&lt;UIoptions!$T$13),1,0)</f>
        <v>0</v>
      </c>
      <c r="BG164" s="38">
        <f>IF(UIoptions!$N$35=1,IF(AND(PCdb[[#This Row],[SQ_SZ]]&gt;UIoptions!$S$15,PCdb[[#This Row],[SQ_SZ]]&lt;UIoptions!$T$15),1,0),1)</f>
        <v>0</v>
      </c>
      <c r="BH164" s="38">
        <f>IF(UIoptions!$N$35=2,IF(AND(PCdb[[#This Row],[ROUND_D]]&gt;UIoptions!$S$15,PCdb[[#This Row],[ROUND_D]]&lt;UIoptions!$T$15),1,0),1)</f>
        <v>1</v>
      </c>
      <c r="BI164" s="38">
        <f>IF(UIoptions!$N$75&lt;&gt;1,1,IF(AND(PCdb[[#This Row],[FL]]&gt;UIoptions!$S$16,PCdb[[#This Row],[FL]]&lt;UIoptions!$T$16),1,0))</f>
        <v>0</v>
      </c>
      <c r="BJ164" s="38" t="e">
        <f>IF(OR(UIoptions!$Q$18=PCdb[[#This Row],[THRU_SCREW]],UIoptions!$Q$18="NA"),1,0)</f>
        <v>#N/A</v>
      </c>
      <c r="BK164" s="38">
        <f>IF(OR(UIoptions!$P$19=PCdb[[#This Row],[THREAD_SZ]],UIoptions!$P$19="NA"),1,0)</f>
        <v>1</v>
      </c>
      <c r="BL164" s="38">
        <f>IF(UIoptions!$N$75=1,1,IF(AND(PCdb[[#This Row],[THREAD_L]]&gt;UIoptions!$S$17,PCdb[[#This Row],[THREAD_L]]&lt;UIoptions!$T$17),1,0))</f>
        <v>1</v>
      </c>
      <c r="BM164" s="38" t="e">
        <f>IF(SUM(PCdb[[#This Row],[BDhit]:[THREAD_Lhit]])=11,1,0)</f>
        <v>#N/A</v>
      </c>
      <c r="BN16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100804143088NA7.5M6NANA4</v>
      </c>
      <c r="BO164" s="38" t="e">
        <f>SUM(PCdb[[#This Row],[BDhit]:[THREAD_Lhit]])</f>
        <v>#N/A</v>
      </c>
    </row>
    <row r="165" spans="1:67" x14ac:dyDescent="0.25">
      <c r="A165" s="7">
        <v>160</v>
      </c>
      <c r="B165" s="93">
        <v>75</v>
      </c>
      <c r="C165" s="93">
        <v>60</v>
      </c>
      <c r="D165" s="93">
        <v>4</v>
      </c>
      <c r="E165" s="93">
        <v>16</v>
      </c>
      <c r="F165" s="93">
        <v>32</v>
      </c>
      <c r="G165" s="93">
        <v>70</v>
      </c>
      <c r="H165" s="93" t="s">
        <v>87</v>
      </c>
      <c r="I165" s="93">
        <v>10</v>
      </c>
      <c r="J165" s="93" t="s">
        <v>45</v>
      </c>
      <c r="K165" s="93" t="s">
        <v>87</v>
      </c>
      <c r="L165" s="93" t="s">
        <v>87</v>
      </c>
      <c r="M165" s="93">
        <v>4</v>
      </c>
      <c r="N165" s="38" t="s">
        <v>45</v>
      </c>
      <c r="O165" s="38" t="s">
        <v>87</v>
      </c>
      <c r="P165" s="38" t="s">
        <v>87</v>
      </c>
      <c r="Q165" s="38" t="s">
        <v>87</v>
      </c>
      <c r="R165" s="38" t="s">
        <v>87</v>
      </c>
      <c r="S165" s="38" t="s">
        <v>87</v>
      </c>
      <c r="T165" s="38" t="s">
        <v>87</v>
      </c>
      <c r="U165" s="38" t="s">
        <v>87</v>
      </c>
      <c r="V165" s="38"/>
      <c r="W165" s="38"/>
      <c r="X165" s="38"/>
      <c r="Y165" s="38"/>
      <c r="Z165" s="38"/>
      <c r="AA165" s="38"/>
      <c r="AB165" s="38"/>
      <c r="AC165" s="38">
        <v>45.2</v>
      </c>
      <c r="AD165" s="38">
        <v>32</v>
      </c>
      <c r="AE165" s="38">
        <v>0</v>
      </c>
      <c r="AF165" s="38" t="s">
        <v>635</v>
      </c>
      <c r="AG165" s="38" t="s">
        <v>172</v>
      </c>
      <c r="AH165" s="38">
        <v>45</v>
      </c>
      <c r="AI165" s="38">
        <v>90</v>
      </c>
      <c r="AJ165" s="38" t="s">
        <v>87</v>
      </c>
      <c r="AK165" s="38" t="s">
        <v>87</v>
      </c>
      <c r="AL165" s="38" t="s">
        <v>87</v>
      </c>
      <c r="AM165" s="38" t="s">
        <v>87</v>
      </c>
      <c r="AN165" s="38" t="s">
        <v>87</v>
      </c>
      <c r="AO165" s="38" t="s">
        <v>87</v>
      </c>
      <c r="AP165" s="38" t="s">
        <v>87</v>
      </c>
      <c r="AQ165" s="38" t="s">
        <v>87</v>
      </c>
      <c r="AR165" s="38" t="s">
        <v>87</v>
      </c>
      <c r="AS165" s="38" t="s">
        <v>87</v>
      </c>
      <c r="AT165" s="38" t="s">
        <v>87</v>
      </c>
      <c r="AU165" s="38" t="s">
        <v>87</v>
      </c>
      <c r="AV165" s="38">
        <v>32</v>
      </c>
      <c r="AW165" s="38">
        <v>0</v>
      </c>
      <c r="AX165" s="38" t="s">
        <v>130</v>
      </c>
      <c r="AY165" s="38" t="s">
        <v>176</v>
      </c>
      <c r="AZ165" s="38">
        <v>45</v>
      </c>
      <c r="BA165" s="38">
        <v>90</v>
      </c>
      <c r="BB165" s="38">
        <f>IF(AND(PCdb[[#This Row],[BCD]]&gt;UIoptions!$S$10,PCdb[[#This Row],[BCD]]&lt;UIoptions!$T$10),1,0)</f>
        <v>1</v>
      </c>
      <c r="BC165" s="38">
        <f>IF(AND(PCdb[[#This Row],[PD]]&gt;UIoptions!$S$11,PCdb[[#This Row],[PD]]&lt;UIoptions!$T$11),1,0)</f>
        <v>1</v>
      </c>
      <c r="BD165" s="38">
        <f>IF(AND(UIoptions!$P$14&lt;=PCdb[[#This Row],[PL (MAX)]],UIoptions!$P$14&gt;UIoptions!$S$14),1,0)</f>
        <v>1</v>
      </c>
      <c r="BE165" s="38">
        <f>IF(AND(PCdb[[#This Row],[SD]]&gt;UIoptions!$S$12,PCdb[[#This Row],[SD]]&lt;UIoptions!$T$12),1,0)</f>
        <v>0</v>
      </c>
      <c r="BF165" s="38">
        <f>IF(AND(PCdb[[#This Row],[SL]]&gt;UIoptions!$S$13,PCdb[[#This Row],[SL]]&lt;UIoptions!$T$13),1,0)</f>
        <v>0</v>
      </c>
      <c r="BG165" s="38">
        <f>IF(UIoptions!$N$35=1,IF(AND(PCdb[[#This Row],[SQ_SZ]]&gt;UIoptions!$S$15,PCdb[[#This Row],[SQ_SZ]]&lt;UIoptions!$T$15),1,0),1)</f>
        <v>1</v>
      </c>
      <c r="BH165" s="38">
        <f>IF(UIoptions!$N$35=2,IF(AND(PCdb[[#This Row],[ROUND_D]]&gt;UIoptions!$S$15,PCdb[[#This Row],[ROUND_D]]&lt;UIoptions!$T$15),1,0),1)</f>
        <v>1</v>
      </c>
      <c r="BI165" s="38">
        <f>IF(UIoptions!$N$75&lt;&gt;1,1,IF(AND(PCdb[[#This Row],[FL]]&gt;UIoptions!$S$16,PCdb[[#This Row],[FL]]&lt;UIoptions!$T$16),1,0))</f>
        <v>0</v>
      </c>
      <c r="BJ165" s="38" t="e">
        <f>IF(OR(UIoptions!$Q$18=PCdb[[#This Row],[THRU_SCREW]],UIoptions!$Q$18="NA"),1,0)</f>
        <v>#N/A</v>
      </c>
      <c r="BK165" s="38">
        <f>IF(OR(UIoptions!$P$19=PCdb[[#This Row],[THREAD_SZ]],UIoptions!$P$19="NA"),1,0)</f>
        <v>1</v>
      </c>
      <c r="BL165" s="38">
        <f>IF(UIoptions!$N$75=1,1,IF(AND(PCdb[[#This Row],[THREAD_L]]&gt;UIoptions!$S$17,PCdb[[#This Row],[THREAD_L]]&lt;UIoptions!$T$17),1,0))</f>
        <v>1</v>
      </c>
      <c r="BM165" s="38" t="e">
        <f>IF(SUM(PCdb[[#This Row],[BDhit]:[THREAD_Lhit]])=11,1,0)</f>
        <v>#N/A</v>
      </c>
      <c r="BN16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75604163270NA10M5NANA4</v>
      </c>
      <c r="BO165" s="38" t="e">
        <f>SUM(PCdb[[#This Row],[BDhit]:[THREAD_Lhit]])</f>
        <v>#N/A</v>
      </c>
    </row>
    <row r="166" spans="1:67" x14ac:dyDescent="0.25">
      <c r="A166" s="7">
        <v>161</v>
      </c>
      <c r="B166" s="93">
        <v>72</v>
      </c>
      <c r="C166" s="93">
        <v>28</v>
      </c>
      <c r="D166" s="93" t="s">
        <v>87</v>
      </c>
      <c r="E166" s="93">
        <v>14</v>
      </c>
      <c r="F166" s="93">
        <v>58</v>
      </c>
      <c r="G166" s="93" t="s">
        <v>87</v>
      </c>
      <c r="H166" s="93" t="s">
        <v>87</v>
      </c>
      <c r="I166" s="93" t="s">
        <v>87</v>
      </c>
      <c r="J166" s="93" t="s">
        <v>87</v>
      </c>
      <c r="K166" s="93" t="s">
        <v>106</v>
      </c>
      <c r="L166" s="93">
        <v>16</v>
      </c>
      <c r="M166" s="93">
        <v>3</v>
      </c>
      <c r="N166" s="38">
        <v>9</v>
      </c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 t="s">
        <v>87</v>
      </c>
      <c r="AW166" s="38" t="s">
        <v>87</v>
      </c>
      <c r="AX166" s="38" t="s">
        <v>628</v>
      </c>
      <c r="AY166" s="38" t="s">
        <v>663</v>
      </c>
      <c r="AZ166" s="38">
        <v>52</v>
      </c>
      <c r="BA166" s="38">
        <v>120</v>
      </c>
      <c r="BB166" s="38">
        <f>IF(AND(PCdb[[#This Row],[BCD]]&gt;UIoptions!$S$10,PCdb[[#This Row],[BCD]]&lt;UIoptions!$T$10),1,0)</f>
        <v>0</v>
      </c>
      <c r="BC166" s="38">
        <f>IF(AND(PCdb[[#This Row],[PD]]&gt;UIoptions!$S$11,PCdb[[#This Row],[PD]]&lt;UIoptions!$T$11),1,0)</f>
        <v>0</v>
      </c>
      <c r="BD166" s="38">
        <f>IF(AND(UIoptions!$P$14&lt;=PCdb[[#This Row],[PL (MAX)]],UIoptions!$P$14&gt;UIoptions!$S$14),1,0)</f>
        <v>1</v>
      </c>
      <c r="BE166" s="38">
        <f>IF(AND(PCdb[[#This Row],[SD]]&gt;UIoptions!$S$12,PCdb[[#This Row],[SD]]&lt;UIoptions!$T$12),1,0)</f>
        <v>0</v>
      </c>
      <c r="BF166" s="38">
        <f>IF(AND(PCdb[[#This Row],[SL]]&gt;UIoptions!$S$13,PCdb[[#This Row],[SL]]&lt;UIoptions!$T$13),1,0)</f>
        <v>0</v>
      </c>
      <c r="BG166" s="38">
        <f>IF(UIoptions!$N$35=1,IF(AND(PCdb[[#This Row],[SQ_SZ]]&gt;UIoptions!$S$15,PCdb[[#This Row],[SQ_SZ]]&lt;UIoptions!$T$15),1,0),1)</f>
        <v>0</v>
      </c>
      <c r="BH166" s="38">
        <f>IF(UIoptions!$N$35=2,IF(AND(PCdb[[#This Row],[ROUND_D]]&gt;UIoptions!$S$15,PCdb[[#This Row],[ROUND_D]]&lt;UIoptions!$T$15),1,0),1)</f>
        <v>1</v>
      </c>
      <c r="BI166" s="38">
        <f>IF(UIoptions!$N$75&lt;&gt;1,1,IF(AND(PCdb[[#This Row],[FL]]&gt;UIoptions!$S$16,PCdb[[#This Row],[FL]]&lt;UIoptions!$T$16),1,0))</f>
        <v>0</v>
      </c>
      <c r="BJ166" s="38" t="e">
        <f>IF(OR(UIoptions!$Q$18=PCdb[[#This Row],[THRU_SCREW]],UIoptions!$Q$18="NA"),1,0)</f>
        <v>#N/A</v>
      </c>
      <c r="BK166" s="38">
        <f>IF(OR(UIoptions!$P$19=PCdb[[#This Row],[THREAD_SZ]],UIoptions!$P$19="NA"),1,0)</f>
        <v>1</v>
      </c>
      <c r="BL166" s="38">
        <f>IF(UIoptions!$N$75=1,1,IF(AND(PCdb[[#This Row],[THREAD_L]]&gt;UIoptions!$S$17,PCdb[[#This Row],[THREAD_L]]&lt;UIoptions!$T$17),1,0))</f>
        <v>1</v>
      </c>
      <c r="BM166" s="38" t="e">
        <f>IF(SUM(PCdb[[#This Row],[BDhit]:[THREAD_Lhit]])=11,1,0)</f>
        <v>#N/A</v>
      </c>
      <c r="BN16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7228NA1458NANANANAM8163</v>
      </c>
      <c r="BO166" s="38" t="e">
        <f>SUM(PCdb[[#This Row],[BDhit]:[THREAD_Lhit]])</f>
        <v>#N/A</v>
      </c>
    </row>
    <row r="167" spans="1:67" x14ac:dyDescent="0.25">
      <c r="A167" s="7">
        <v>162</v>
      </c>
      <c r="B167" s="93">
        <v>66.7</v>
      </c>
      <c r="C167" s="93">
        <v>38.1</v>
      </c>
      <c r="D167" s="93">
        <v>4</v>
      </c>
      <c r="E167" s="93">
        <v>6.35</v>
      </c>
      <c r="F167" s="93">
        <v>20</v>
      </c>
      <c r="G167" s="93">
        <v>56.4</v>
      </c>
      <c r="H167" s="93" t="s">
        <v>87</v>
      </c>
      <c r="I167" s="93">
        <v>4.8</v>
      </c>
      <c r="J167" s="93" t="s">
        <v>7</v>
      </c>
      <c r="K167" s="93" t="s">
        <v>87</v>
      </c>
      <c r="L167" s="93" t="s">
        <v>87</v>
      </c>
      <c r="M167" s="93">
        <v>4</v>
      </c>
      <c r="N167" s="38" t="s">
        <v>7</v>
      </c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>
        <v>22</v>
      </c>
      <c r="AK167" s="38">
        <v>0</v>
      </c>
      <c r="AL167" s="38" t="s">
        <v>130</v>
      </c>
      <c r="AM167" s="38" t="s">
        <v>177</v>
      </c>
      <c r="AN167" s="38">
        <v>45</v>
      </c>
      <c r="AO167" s="38">
        <v>90</v>
      </c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>
        <f>IF(AND(PCdb[[#This Row],[BCD]]&gt;UIoptions!$S$10,PCdb[[#This Row],[BCD]]&lt;UIoptions!$T$10),1,0)</f>
        <v>0</v>
      </c>
      <c r="BC167" s="38">
        <f>IF(AND(PCdb[[#This Row],[PD]]&gt;UIoptions!$S$11,PCdb[[#This Row],[PD]]&lt;UIoptions!$T$11),1,0)</f>
        <v>0</v>
      </c>
      <c r="BD167" s="38">
        <f>IF(AND(UIoptions!$P$14&lt;=PCdb[[#This Row],[PL (MAX)]],UIoptions!$P$14&gt;UIoptions!$S$14),1,0)</f>
        <v>1</v>
      </c>
      <c r="BE167" s="38">
        <f>IF(AND(PCdb[[#This Row],[SD]]&gt;UIoptions!$S$12,PCdb[[#This Row],[SD]]&lt;UIoptions!$T$12),1,0)</f>
        <v>0</v>
      </c>
      <c r="BF167" s="38">
        <f>IF(AND(PCdb[[#This Row],[SL]]&gt;UIoptions!$S$13,PCdb[[#This Row],[SL]]&lt;UIoptions!$T$13),1,0)</f>
        <v>0</v>
      </c>
      <c r="BG167" s="38">
        <f>IF(UIoptions!$N$35=1,IF(AND(PCdb[[#This Row],[SQ_SZ]]&gt;UIoptions!$S$15,PCdb[[#This Row],[SQ_SZ]]&lt;UIoptions!$T$15),1,0),1)</f>
        <v>0</v>
      </c>
      <c r="BH167" s="38">
        <f>IF(UIoptions!$N$35=2,IF(AND(PCdb[[#This Row],[ROUND_D]]&gt;UIoptions!$S$15,PCdb[[#This Row],[ROUND_D]]&lt;UIoptions!$T$15),1,0),1)</f>
        <v>1</v>
      </c>
      <c r="BI167" s="38">
        <f>IF(UIoptions!$N$75&lt;&gt;1,1,IF(AND(PCdb[[#This Row],[FL]]&gt;UIoptions!$S$16,PCdb[[#This Row],[FL]]&lt;UIoptions!$T$16),1,0))</f>
        <v>0</v>
      </c>
      <c r="BJ167" s="38" t="e">
        <f>IF(OR(UIoptions!$Q$18=PCdb[[#This Row],[THRU_SCREW]],UIoptions!$Q$18="NA"),1,0)</f>
        <v>#N/A</v>
      </c>
      <c r="BK167" s="38">
        <f>IF(OR(UIoptions!$P$19=PCdb[[#This Row],[THREAD_SZ]],UIoptions!$P$19="NA"),1,0)</f>
        <v>1</v>
      </c>
      <c r="BL167" s="38">
        <f>IF(UIoptions!$N$75=1,1,IF(AND(PCdb[[#This Row],[THREAD_L]]&gt;UIoptions!$S$17,PCdb[[#This Row],[THREAD_L]]&lt;UIoptions!$T$17),1,0))</f>
        <v>1</v>
      </c>
      <c r="BM167" s="38" t="e">
        <f>IF(SUM(PCdb[[#This Row],[BDhit]:[THREAD_Lhit]])=11,1,0)</f>
        <v>#N/A</v>
      </c>
      <c r="BN16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66.738.146.352056.4NA4.8M4NANA4</v>
      </c>
      <c r="BO167" s="38" t="e">
        <f>SUM(PCdb[[#This Row],[BDhit]:[THREAD_Lhit]])</f>
        <v>#N/A</v>
      </c>
    </row>
    <row r="168" spans="1:67" x14ac:dyDescent="0.25">
      <c r="A168" s="7">
        <v>163</v>
      </c>
      <c r="B168" s="93">
        <v>98.4</v>
      </c>
      <c r="C168" s="93">
        <v>73</v>
      </c>
      <c r="D168" s="93">
        <v>4</v>
      </c>
      <c r="E168" s="93">
        <v>14</v>
      </c>
      <c r="F168" s="93">
        <v>37</v>
      </c>
      <c r="G168" s="93">
        <v>86.1</v>
      </c>
      <c r="H168" s="93" t="s">
        <v>87</v>
      </c>
      <c r="I168" s="93">
        <v>10</v>
      </c>
      <c r="J168" s="93" t="s">
        <v>49</v>
      </c>
      <c r="K168" s="93" t="s">
        <v>87</v>
      </c>
      <c r="L168" s="93" t="s">
        <v>87</v>
      </c>
      <c r="M168" s="93">
        <v>4</v>
      </c>
      <c r="N168" s="38" t="s">
        <v>49</v>
      </c>
      <c r="O168" s="38" t="s">
        <v>87</v>
      </c>
      <c r="P168" s="38" t="s">
        <v>87</v>
      </c>
      <c r="Q168" s="38" t="s">
        <v>87</v>
      </c>
      <c r="R168" s="38" t="s">
        <v>87</v>
      </c>
      <c r="S168" s="38" t="s">
        <v>87</v>
      </c>
      <c r="T168" s="38" t="s">
        <v>87</v>
      </c>
      <c r="U168" s="38" t="s">
        <v>87</v>
      </c>
      <c r="V168" s="38">
        <v>45.2</v>
      </c>
      <c r="W168" s="38">
        <v>37.5</v>
      </c>
      <c r="X168" s="38">
        <v>0</v>
      </c>
      <c r="Y168" s="38" t="s">
        <v>130</v>
      </c>
      <c r="Z168" s="38" t="s">
        <v>172</v>
      </c>
      <c r="AA168" s="38">
        <v>45</v>
      </c>
      <c r="AB168" s="38">
        <v>90</v>
      </c>
      <c r="AC168" s="38"/>
      <c r="AD168" s="38"/>
      <c r="AE168" s="38"/>
      <c r="AF168" s="38"/>
      <c r="AG168" s="38"/>
      <c r="AH168" s="38"/>
      <c r="AI168" s="38"/>
      <c r="AJ168" s="38" t="s">
        <v>87</v>
      </c>
      <c r="AK168" s="38" t="s">
        <v>87</v>
      </c>
      <c r="AL168" s="38" t="s">
        <v>87</v>
      </c>
      <c r="AM168" s="38" t="s">
        <v>87</v>
      </c>
      <c r="AN168" s="38" t="s">
        <v>87</v>
      </c>
      <c r="AO168" s="38" t="s">
        <v>87</v>
      </c>
      <c r="AP168" s="38" t="s">
        <v>87</v>
      </c>
      <c r="AQ168" s="38" t="s">
        <v>87</v>
      </c>
      <c r="AR168" s="38" t="s">
        <v>87</v>
      </c>
      <c r="AS168" s="38" t="s">
        <v>87</v>
      </c>
      <c r="AT168" s="38" t="s">
        <v>87</v>
      </c>
      <c r="AU168" s="38" t="s">
        <v>87</v>
      </c>
      <c r="AV168" s="38">
        <v>40</v>
      </c>
      <c r="AW168" s="38" t="s">
        <v>87</v>
      </c>
      <c r="AX168" s="38" t="s">
        <v>130</v>
      </c>
      <c r="AY168" s="38" t="s">
        <v>177</v>
      </c>
      <c r="AZ168" s="38">
        <v>45</v>
      </c>
      <c r="BA168" s="38">
        <v>90</v>
      </c>
      <c r="BB168" s="38">
        <f>IF(AND(PCdb[[#This Row],[BCD]]&gt;UIoptions!$S$10,PCdb[[#This Row],[BCD]]&lt;UIoptions!$T$10),1,0)</f>
        <v>0</v>
      </c>
      <c r="BC168" s="38">
        <f>IF(AND(PCdb[[#This Row],[PD]]&gt;UIoptions!$S$11,PCdb[[#This Row],[PD]]&lt;UIoptions!$T$11),1,0)</f>
        <v>0</v>
      </c>
      <c r="BD168" s="38">
        <f>IF(AND(UIoptions!$P$14&lt;=PCdb[[#This Row],[PL (MAX)]],UIoptions!$P$14&gt;UIoptions!$S$14),1,0)</f>
        <v>1</v>
      </c>
      <c r="BE168" s="38">
        <f>IF(AND(PCdb[[#This Row],[SD]]&gt;UIoptions!$S$12,PCdb[[#This Row],[SD]]&lt;UIoptions!$T$12),1,0)</f>
        <v>0</v>
      </c>
      <c r="BF168" s="38">
        <f>IF(AND(PCdb[[#This Row],[SL]]&gt;UIoptions!$S$13,PCdb[[#This Row],[SL]]&lt;UIoptions!$T$13),1,0)</f>
        <v>0</v>
      </c>
      <c r="BG168" s="38">
        <f>IF(UIoptions!$N$35=1,IF(AND(PCdb[[#This Row],[SQ_SZ]]&gt;UIoptions!$S$15,PCdb[[#This Row],[SQ_SZ]]&lt;UIoptions!$T$15),1,0),1)</f>
        <v>0</v>
      </c>
      <c r="BH168" s="38">
        <f>IF(UIoptions!$N$35=2,IF(AND(PCdb[[#This Row],[ROUND_D]]&gt;UIoptions!$S$15,PCdb[[#This Row],[ROUND_D]]&lt;UIoptions!$T$15),1,0),1)</f>
        <v>1</v>
      </c>
      <c r="BI168" s="38">
        <f>IF(UIoptions!$N$75&lt;&gt;1,1,IF(AND(PCdb[[#This Row],[FL]]&gt;UIoptions!$S$16,PCdb[[#This Row],[FL]]&lt;UIoptions!$T$16),1,0))</f>
        <v>0</v>
      </c>
      <c r="BJ168" s="38" t="e">
        <f>IF(OR(UIoptions!$Q$18=PCdb[[#This Row],[THRU_SCREW]],UIoptions!$Q$18="NA"),1,0)</f>
        <v>#N/A</v>
      </c>
      <c r="BK168" s="38">
        <f>IF(OR(UIoptions!$P$19=PCdb[[#This Row],[THREAD_SZ]],UIoptions!$P$19="NA"),1,0)</f>
        <v>1</v>
      </c>
      <c r="BL168" s="38">
        <f>IF(UIoptions!$N$75=1,1,IF(AND(PCdb[[#This Row],[THREAD_L]]&gt;UIoptions!$S$17,PCdb[[#This Row],[THREAD_L]]&lt;UIoptions!$T$17),1,0))</f>
        <v>1</v>
      </c>
      <c r="BM168" s="38" t="e">
        <f>IF(SUM(PCdb[[#This Row],[BDhit]:[THREAD_Lhit]])=11,1,0)</f>
        <v>#N/A</v>
      </c>
      <c r="BN16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98.4734143786.1NA10M6NANA4</v>
      </c>
      <c r="BO168" s="38" t="e">
        <f>SUM(PCdb[[#This Row],[BDhit]:[THREAD_Lhit]])</f>
        <v>#N/A</v>
      </c>
    </row>
    <row r="169" spans="1:67" x14ac:dyDescent="0.25">
      <c r="A169" s="7">
        <v>164</v>
      </c>
      <c r="B169" s="93">
        <v>63</v>
      </c>
      <c r="C169" s="93">
        <v>40</v>
      </c>
      <c r="D169" s="93">
        <v>4</v>
      </c>
      <c r="E169" s="93">
        <v>11</v>
      </c>
      <c r="F169" s="93">
        <v>25</v>
      </c>
      <c r="G169" s="93">
        <v>56.5</v>
      </c>
      <c r="H169" s="93" t="s">
        <v>87</v>
      </c>
      <c r="I169" s="93">
        <v>6</v>
      </c>
      <c r="J169" s="93" t="s">
        <v>45</v>
      </c>
      <c r="K169" s="93" t="s">
        <v>87</v>
      </c>
      <c r="L169" s="93" t="s">
        <v>87</v>
      </c>
      <c r="M169" s="93">
        <v>4</v>
      </c>
      <c r="N169" s="38" t="s">
        <v>45</v>
      </c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>
        <v>25</v>
      </c>
      <c r="AQ169" s="38">
        <v>0</v>
      </c>
      <c r="AR169" s="38" t="s">
        <v>130</v>
      </c>
      <c r="AS169" s="38" t="s">
        <v>176</v>
      </c>
      <c r="AT169" s="38">
        <v>45</v>
      </c>
      <c r="AU169" s="38">
        <v>90</v>
      </c>
      <c r="AV169" s="38"/>
      <c r="AW169" s="38"/>
      <c r="AX169" s="38"/>
      <c r="AY169" s="38"/>
      <c r="AZ169" s="38"/>
      <c r="BA169" s="38"/>
      <c r="BB169" s="38">
        <f>IF(AND(PCdb[[#This Row],[BCD]]&gt;UIoptions!$S$10,PCdb[[#This Row],[BCD]]&lt;UIoptions!$T$10),1,0)</f>
        <v>0</v>
      </c>
      <c r="BC169" s="38">
        <f>IF(AND(PCdb[[#This Row],[PD]]&gt;UIoptions!$S$11,PCdb[[#This Row],[PD]]&lt;UIoptions!$T$11),1,0)</f>
        <v>0</v>
      </c>
      <c r="BD169" s="38">
        <f>IF(AND(UIoptions!$P$14&lt;=PCdb[[#This Row],[PL (MAX)]],UIoptions!$P$14&gt;UIoptions!$S$14),1,0)</f>
        <v>1</v>
      </c>
      <c r="BE169" s="38">
        <f>IF(AND(PCdb[[#This Row],[SD]]&gt;UIoptions!$S$12,PCdb[[#This Row],[SD]]&lt;UIoptions!$T$12),1,0)</f>
        <v>1</v>
      </c>
      <c r="BF169" s="38">
        <f>IF(AND(PCdb[[#This Row],[SL]]&gt;UIoptions!$S$13,PCdb[[#This Row],[SL]]&lt;UIoptions!$T$13),1,0)</f>
        <v>0</v>
      </c>
      <c r="BG169" s="38">
        <f>IF(UIoptions!$N$35=1,IF(AND(PCdb[[#This Row],[SQ_SZ]]&gt;UIoptions!$S$15,PCdb[[#This Row],[SQ_SZ]]&lt;UIoptions!$T$15),1,0),1)</f>
        <v>0</v>
      </c>
      <c r="BH169" s="38">
        <f>IF(UIoptions!$N$35=2,IF(AND(PCdb[[#This Row],[ROUND_D]]&gt;UIoptions!$S$15,PCdb[[#This Row],[ROUND_D]]&lt;UIoptions!$T$15),1,0),1)</f>
        <v>1</v>
      </c>
      <c r="BI169" s="38">
        <f>IF(UIoptions!$N$75&lt;&gt;1,1,IF(AND(PCdb[[#This Row],[FL]]&gt;UIoptions!$S$16,PCdb[[#This Row],[FL]]&lt;UIoptions!$T$16),1,0))</f>
        <v>0</v>
      </c>
      <c r="BJ169" s="38" t="e">
        <f>IF(OR(UIoptions!$Q$18=PCdb[[#This Row],[THRU_SCREW]],UIoptions!$Q$18="NA"),1,0)</f>
        <v>#N/A</v>
      </c>
      <c r="BK169" s="38">
        <f>IF(OR(UIoptions!$P$19=PCdb[[#This Row],[THREAD_SZ]],UIoptions!$P$19="NA"),1,0)</f>
        <v>1</v>
      </c>
      <c r="BL169" s="38">
        <f>IF(UIoptions!$N$75=1,1,IF(AND(PCdb[[#This Row],[THREAD_L]]&gt;UIoptions!$S$17,PCdb[[#This Row],[THREAD_L]]&lt;UIoptions!$T$17),1,0))</f>
        <v>1</v>
      </c>
      <c r="BM169" s="38" t="e">
        <f>IF(SUM(PCdb[[#This Row],[BDhit]:[THREAD_Lhit]])=11,1,0)</f>
        <v>#N/A</v>
      </c>
      <c r="BN16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63404112556.5NA6M5NANA4</v>
      </c>
      <c r="BO169" s="38" t="e">
        <f>SUM(PCdb[[#This Row],[BDhit]:[THREAD_Lhit]])</f>
        <v>#N/A</v>
      </c>
    </row>
    <row r="170" spans="1:67" x14ac:dyDescent="0.25">
      <c r="A170" s="7">
        <v>165</v>
      </c>
      <c r="B170" s="93">
        <v>98.4</v>
      </c>
      <c r="C170" s="93">
        <v>73</v>
      </c>
      <c r="D170" s="93">
        <v>4</v>
      </c>
      <c r="E170" s="93">
        <v>12</v>
      </c>
      <c r="F170" s="93">
        <v>30.5</v>
      </c>
      <c r="G170" s="93">
        <v>86.5</v>
      </c>
      <c r="H170" s="93" t="s">
        <v>87</v>
      </c>
      <c r="I170" s="93">
        <v>10</v>
      </c>
      <c r="J170" s="93" t="s">
        <v>45</v>
      </c>
      <c r="K170" s="93" t="s">
        <v>87</v>
      </c>
      <c r="L170" s="93" t="s">
        <v>87</v>
      </c>
      <c r="M170" s="93">
        <v>4</v>
      </c>
      <c r="N170" s="38" t="s">
        <v>45</v>
      </c>
      <c r="O170" s="38" t="s">
        <v>87</v>
      </c>
      <c r="P170" s="38" t="s">
        <v>87</v>
      </c>
      <c r="Q170" s="38" t="s">
        <v>87</v>
      </c>
      <c r="R170" s="38" t="s">
        <v>87</v>
      </c>
      <c r="S170" s="38" t="s">
        <v>87</v>
      </c>
      <c r="T170" s="38" t="s">
        <v>87</v>
      </c>
      <c r="U170" s="38" t="s">
        <v>87</v>
      </c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 t="s">
        <v>87</v>
      </c>
      <c r="AK170" s="38" t="s">
        <v>87</v>
      </c>
      <c r="AL170" s="38" t="s">
        <v>87</v>
      </c>
      <c r="AM170" s="38" t="s">
        <v>87</v>
      </c>
      <c r="AN170" s="38" t="s">
        <v>87</v>
      </c>
      <c r="AO170" s="38" t="s">
        <v>87</v>
      </c>
      <c r="AP170" s="38" t="s">
        <v>87</v>
      </c>
      <c r="AQ170" s="38" t="s">
        <v>87</v>
      </c>
      <c r="AR170" s="38" t="s">
        <v>87</v>
      </c>
      <c r="AS170" s="38" t="s">
        <v>87</v>
      </c>
      <c r="AT170" s="38" t="s">
        <v>87</v>
      </c>
      <c r="AU170" s="38" t="s">
        <v>87</v>
      </c>
      <c r="AV170" s="38">
        <v>38</v>
      </c>
      <c r="AW170" s="38">
        <v>0</v>
      </c>
      <c r="AX170" s="38" t="s">
        <v>130</v>
      </c>
      <c r="AY170" s="38" t="s">
        <v>177</v>
      </c>
      <c r="AZ170" s="38">
        <v>45</v>
      </c>
      <c r="BA170" s="38">
        <v>90</v>
      </c>
      <c r="BB170" s="38">
        <f>IF(AND(PCdb[[#This Row],[BCD]]&gt;UIoptions!$S$10,PCdb[[#This Row],[BCD]]&lt;UIoptions!$T$10),1,0)</f>
        <v>0</v>
      </c>
      <c r="BC170" s="38">
        <f>IF(AND(PCdb[[#This Row],[PD]]&gt;UIoptions!$S$11,PCdb[[#This Row],[PD]]&lt;UIoptions!$T$11),1,0)</f>
        <v>0</v>
      </c>
      <c r="BD170" s="38">
        <f>IF(AND(UIoptions!$P$14&lt;=PCdb[[#This Row],[PL (MAX)]],UIoptions!$P$14&gt;UIoptions!$S$14),1,0)</f>
        <v>1</v>
      </c>
      <c r="BE170" s="38">
        <f>IF(AND(PCdb[[#This Row],[SD]]&gt;UIoptions!$S$12,PCdb[[#This Row],[SD]]&lt;UIoptions!$T$12),1,0)</f>
        <v>0</v>
      </c>
      <c r="BF170" s="38">
        <f>IF(AND(PCdb[[#This Row],[SL]]&gt;UIoptions!$S$13,PCdb[[#This Row],[SL]]&lt;UIoptions!$T$13),1,0)</f>
        <v>0</v>
      </c>
      <c r="BG170" s="38">
        <f>IF(UIoptions!$N$35=1,IF(AND(PCdb[[#This Row],[SQ_SZ]]&gt;UIoptions!$S$15,PCdb[[#This Row],[SQ_SZ]]&lt;UIoptions!$T$15),1,0),1)</f>
        <v>0</v>
      </c>
      <c r="BH170" s="38">
        <f>IF(UIoptions!$N$35=2,IF(AND(PCdb[[#This Row],[ROUND_D]]&gt;UIoptions!$S$15,PCdb[[#This Row],[ROUND_D]]&lt;UIoptions!$T$15),1,0),1)</f>
        <v>1</v>
      </c>
      <c r="BI170" s="38">
        <f>IF(UIoptions!$N$75&lt;&gt;1,1,IF(AND(PCdb[[#This Row],[FL]]&gt;UIoptions!$S$16,PCdb[[#This Row],[FL]]&lt;UIoptions!$T$16),1,0))</f>
        <v>0</v>
      </c>
      <c r="BJ170" s="38" t="e">
        <f>IF(OR(UIoptions!$Q$18=PCdb[[#This Row],[THRU_SCREW]],UIoptions!$Q$18="NA"),1,0)</f>
        <v>#N/A</v>
      </c>
      <c r="BK170" s="38">
        <f>IF(OR(UIoptions!$P$19=PCdb[[#This Row],[THREAD_SZ]],UIoptions!$P$19="NA"),1,0)</f>
        <v>1</v>
      </c>
      <c r="BL170" s="38">
        <f>IF(UIoptions!$N$75=1,1,IF(AND(PCdb[[#This Row],[THREAD_L]]&gt;UIoptions!$S$17,PCdb[[#This Row],[THREAD_L]]&lt;UIoptions!$T$17),1,0))</f>
        <v>1</v>
      </c>
      <c r="BM170" s="38" t="e">
        <f>IF(SUM(PCdb[[#This Row],[BDhit]:[THREAD_Lhit]])=11,1,0)</f>
        <v>#N/A</v>
      </c>
      <c r="BN17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98.47341230.586.5NA10M5NANA4</v>
      </c>
      <c r="BO170" s="38" t="e">
        <f>SUM(PCdb[[#This Row],[BDhit]:[THREAD_Lhit]])</f>
        <v>#N/A</v>
      </c>
    </row>
    <row r="171" spans="1:67" x14ac:dyDescent="0.25">
      <c r="A171" s="7">
        <v>166</v>
      </c>
      <c r="B171" s="93">
        <v>34</v>
      </c>
      <c r="C171" s="93">
        <v>26</v>
      </c>
      <c r="D171" s="93">
        <v>3</v>
      </c>
      <c r="E171" s="93">
        <v>10</v>
      </c>
      <c r="F171" s="93">
        <v>26</v>
      </c>
      <c r="G171" s="93" t="s">
        <v>87</v>
      </c>
      <c r="H171" s="93">
        <v>40</v>
      </c>
      <c r="I171" s="93" t="s">
        <v>87</v>
      </c>
      <c r="J171" s="93" t="s">
        <v>87</v>
      </c>
      <c r="K171" s="93" t="s">
        <v>7</v>
      </c>
      <c r="L171" s="93">
        <v>6</v>
      </c>
      <c r="M171" s="93">
        <v>4</v>
      </c>
      <c r="N171" s="38">
        <v>5</v>
      </c>
      <c r="O171" s="38"/>
      <c r="P171" s="38"/>
      <c r="Q171" s="38"/>
      <c r="R171" s="38"/>
      <c r="S171" s="38"/>
      <c r="T171" s="38"/>
      <c r="U171" s="38"/>
      <c r="V171" s="38">
        <v>41.7</v>
      </c>
      <c r="W171" s="38" t="s">
        <v>87</v>
      </c>
      <c r="X171" s="38" t="s">
        <v>87</v>
      </c>
      <c r="Y171" s="38" t="s">
        <v>87</v>
      </c>
      <c r="Z171" s="38" t="s">
        <v>279</v>
      </c>
      <c r="AA171" s="38">
        <v>45</v>
      </c>
      <c r="AB171" s="38">
        <v>90</v>
      </c>
      <c r="AC171" s="38"/>
      <c r="AD171" s="38"/>
      <c r="AE171" s="38"/>
      <c r="AF171" s="38"/>
      <c r="AG171" s="38"/>
      <c r="AH171" s="38"/>
      <c r="AI171" s="38"/>
      <c r="AJ171" s="38" t="s">
        <v>87</v>
      </c>
      <c r="AK171" s="38" t="s">
        <v>87</v>
      </c>
      <c r="AL171" s="38" t="s">
        <v>87</v>
      </c>
      <c r="AM171" s="38" t="s">
        <v>280</v>
      </c>
      <c r="AN171" s="38">
        <v>45</v>
      </c>
      <c r="AO171" s="38">
        <v>90</v>
      </c>
      <c r="AP171" s="38" t="s">
        <v>87</v>
      </c>
      <c r="AQ171" s="38" t="s">
        <v>87</v>
      </c>
      <c r="AR171" s="38" t="s">
        <v>130</v>
      </c>
      <c r="AS171" s="38" t="s">
        <v>280</v>
      </c>
      <c r="AT171" s="38">
        <v>45</v>
      </c>
      <c r="AU171" s="38">
        <v>90</v>
      </c>
      <c r="AV171" s="38" t="s">
        <v>87</v>
      </c>
      <c r="AW171" s="38" t="s">
        <v>87</v>
      </c>
      <c r="AX171" s="38" t="s">
        <v>130</v>
      </c>
      <c r="AY171" s="38" t="s">
        <v>280</v>
      </c>
      <c r="AZ171" s="38">
        <v>45</v>
      </c>
      <c r="BA171" s="38">
        <v>90</v>
      </c>
      <c r="BB171" s="38">
        <f>IF(AND(PCdb[[#This Row],[BCD]]&gt;UIoptions!$S$10,PCdb[[#This Row],[BCD]]&lt;UIoptions!$T$10),1,0)</f>
        <v>0</v>
      </c>
      <c r="BC171" s="38">
        <f>IF(AND(PCdb[[#This Row],[PD]]&gt;UIoptions!$S$11,PCdb[[#This Row],[PD]]&lt;UIoptions!$T$11),1,0)</f>
        <v>0</v>
      </c>
      <c r="BD171" s="38">
        <f>IF(AND(UIoptions!$P$14&lt;=PCdb[[#This Row],[PL (MAX)]],UIoptions!$P$14&gt;UIoptions!$S$14),1,0)</f>
        <v>1</v>
      </c>
      <c r="BE171" s="38">
        <f>IF(AND(PCdb[[#This Row],[SD]]&gt;UIoptions!$S$12,PCdb[[#This Row],[SD]]&lt;UIoptions!$T$12),1,0)</f>
        <v>0</v>
      </c>
      <c r="BF171" s="38">
        <f>IF(AND(PCdb[[#This Row],[SL]]&gt;UIoptions!$S$13,PCdb[[#This Row],[SL]]&lt;UIoptions!$T$13),1,0)</f>
        <v>0</v>
      </c>
      <c r="BG171" s="38">
        <f>IF(UIoptions!$N$35=1,IF(AND(PCdb[[#This Row],[SQ_SZ]]&gt;UIoptions!$S$15,PCdb[[#This Row],[SQ_SZ]]&lt;UIoptions!$T$15),1,0),1)</f>
        <v>0</v>
      </c>
      <c r="BH171" s="38">
        <f>IF(UIoptions!$N$35=2,IF(AND(PCdb[[#This Row],[ROUND_D]]&gt;UIoptions!$S$15,PCdb[[#This Row],[ROUND_D]]&lt;UIoptions!$T$15),1,0),1)</f>
        <v>1</v>
      </c>
      <c r="BI171" s="38">
        <f>IF(UIoptions!$N$75&lt;&gt;1,1,IF(AND(PCdb[[#This Row],[FL]]&gt;UIoptions!$S$16,PCdb[[#This Row],[FL]]&lt;UIoptions!$T$16),1,0))</f>
        <v>0</v>
      </c>
      <c r="BJ171" s="38" t="e">
        <f>IF(OR(UIoptions!$Q$18=PCdb[[#This Row],[THRU_SCREW]],UIoptions!$Q$18="NA"),1,0)</f>
        <v>#N/A</v>
      </c>
      <c r="BK171" s="38">
        <f>IF(OR(UIoptions!$P$19=PCdb[[#This Row],[THREAD_SZ]],UIoptions!$P$19="NA"),1,0)</f>
        <v>1</v>
      </c>
      <c r="BL171" s="38">
        <f>IF(UIoptions!$N$75=1,1,IF(AND(PCdb[[#This Row],[THREAD_L]]&gt;UIoptions!$S$17,PCdb[[#This Row],[THREAD_L]]&lt;UIoptions!$T$17),1,0))</f>
        <v>1</v>
      </c>
      <c r="BM171" s="38" t="e">
        <f>IF(SUM(PCdb[[#This Row],[BDhit]:[THREAD_Lhit]])=11,1,0)</f>
        <v>#N/A</v>
      </c>
      <c r="BN17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342631026NA40NANAM464</v>
      </c>
      <c r="BO171" s="38" t="e">
        <f>SUM(PCdb[[#This Row],[BDhit]:[THREAD_Lhit]])</f>
        <v>#N/A</v>
      </c>
    </row>
    <row r="172" spans="1:67" x14ac:dyDescent="0.25">
      <c r="A172" s="7">
        <v>167</v>
      </c>
      <c r="B172" s="93">
        <v>66.7</v>
      </c>
      <c r="C172" s="93">
        <v>38.1</v>
      </c>
      <c r="D172" s="93">
        <v>4</v>
      </c>
      <c r="E172" s="93">
        <v>10</v>
      </c>
      <c r="F172" s="93">
        <v>24</v>
      </c>
      <c r="G172" s="93">
        <v>60</v>
      </c>
      <c r="H172" s="93" t="s">
        <v>87</v>
      </c>
      <c r="I172" s="93">
        <v>8</v>
      </c>
      <c r="J172" s="93" t="s">
        <v>7</v>
      </c>
      <c r="K172" s="93" t="s">
        <v>87</v>
      </c>
      <c r="L172" s="93" t="s">
        <v>87</v>
      </c>
      <c r="M172" s="93">
        <v>4</v>
      </c>
      <c r="N172" s="38" t="s">
        <v>7</v>
      </c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>
        <v>22</v>
      </c>
      <c r="AK172" s="38">
        <v>0</v>
      </c>
      <c r="AL172" s="38" t="s">
        <v>130</v>
      </c>
      <c r="AM172" s="38" t="s">
        <v>177</v>
      </c>
      <c r="AN172" s="38">
        <v>45</v>
      </c>
      <c r="AO172" s="38">
        <v>90</v>
      </c>
      <c r="AP172" s="38">
        <v>22</v>
      </c>
      <c r="AQ172" s="38">
        <v>0</v>
      </c>
      <c r="AR172" s="38" t="s">
        <v>130</v>
      </c>
      <c r="AS172" s="38" t="s">
        <v>176</v>
      </c>
      <c r="AT172" s="38">
        <v>45</v>
      </c>
      <c r="AU172" s="38">
        <v>90</v>
      </c>
      <c r="AV172" s="38"/>
      <c r="AW172" s="38"/>
      <c r="AX172" s="38"/>
      <c r="AY172" s="38"/>
      <c r="AZ172" s="38"/>
      <c r="BA172" s="38"/>
      <c r="BB172" s="38">
        <f>IF(AND(PCdb[[#This Row],[BCD]]&gt;UIoptions!$S$10,PCdb[[#This Row],[BCD]]&lt;UIoptions!$T$10),1,0)</f>
        <v>0</v>
      </c>
      <c r="BC172" s="38">
        <f>IF(AND(PCdb[[#This Row],[PD]]&gt;UIoptions!$S$11,PCdb[[#This Row],[PD]]&lt;UIoptions!$T$11),1,0)</f>
        <v>0</v>
      </c>
      <c r="BD172" s="38">
        <f>IF(AND(UIoptions!$P$14&lt;=PCdb[[#This Row],[PL (MAX)]],UIoptions!$P$14&gt;UIoptions!$S$14),1,0)</f>
        <v>1</v>
      </c>
      <c r="BE172" s="38">
        <f>IF(AND(PCdb[[#This Row],[SD]]&gt;UIoptions!$S$12,PCdb[[#This Row],[SD]]&lt;UIoptions!$T$12),1,0)</f>
        <v>0</v>
      </c>
      <c r="BF172" s="38">
        <f>IF(AND(PCdb[[#This Row],[SL]]&gt;UIoptions!$S$13,PCdb[[#This Row],[SL]]&lt;UIoptions!$T$13),1,0)</f>
        <v>0</v>
      </c>
      <c r="BG172" s="38">
        <f>IF(UIoptions!$N$35=1,IF(AND(PCdb[[#This Row],[SQ_SZ]]&gt;UIoptions!$S$15,PCdb[[#This Row],[SQ_SZ]]&lt;UIoptions!$T$15),1,0),1)</f>
        <v>0</v>
      </c>
      <c r="BH172" s="38">
        <f>IF(UIoptions!$N$35=2,IF(AND(PCdb[[#This Row],[ROUND_D]]&gt;UIoptions!$S$15,PCdb[[#This Row],[ROUND_D]]&lt;UIoptions!$T$15),1,0),1)</f>
        <v>1</v>
      </c>
      <c r="BI172" s="38">
        <f>IF(UIoptions!$N$75&lt;&gt;1,1,IF(AND(PCdb[[#This Row],[FL]]&gt;UIoptions!$S$16,PCdb[[#This Row],[FL]]&lt;UIoptions!$T$16),1,0))</f>
        <v>0</v>
      </c>
      <c r="BJ172" s="38" t="e">
        <f>IF(OR(UIoptions!$Q$18=PCdb[[#This Row],[THRU_SCREW]],UIoptions!$Q$18="NA"),1,0)</f>
        <v>#N/A</v>
      </c>
      <c r="BK172" s="38">
        <f>IF(OR(UIoptions!$P$19=PCdb[[#This Row],[THREAD_SZ]],UIoptions!$P$19="NA"),1,0)</f>
        <v>1</v>
      </c>
      <c r="BL172" s="38">
        <f>IF(UIoptions!$N$75=1,1,IF(AND(PCdb[[#This Row],[THREAD_L]]&gt;UIoptions!$S$17,PCdb[[#This Row],[THREAD_L]]&lt;UIoptions!$T$17),1,0))</f>
        <v>1</v>
      </c>
      <c r="BM172" s="38" t="e">
        <f>IF(SUM(PCdb[[#This Row],[BDhit]:[THREAD_Lhit]])=11,1,0)</f>
        <v>#N/A</v>
      </c>
      <c r="BN17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66.738.14102460NA8M4NANA4</v>
      </c>
      <c r="BO172" s="38" t="e">
        <f>SUM(PCdb[[#This Row],[BDhit]:[THREAD_Lhit]])</f>
        <v>#N/A</v>
      </c>
    </row>
    <row r="173" spans="1:67" s="103" customFormat="1" x14ac:dyDescent="0.25">
      <c r="A173" s="7">
        <v>168</v>
      </c>
      <c r="B173" s="93">
        <v>90</v>
      </c>
      <c r="C173" s="93">
        <v>70</v>
      </c>
      <c r="D173" s="93">
        <v>4</v>
      </c>
      <c r="E173" s="93">
        <v>14</v>
      </c>
      <c r="F173" s="93">
        <v>32</v>
      </c>
      <c r="G173" s="93">
        <v>80</v>
      </c>
      <c r="H173" s="93" t="s">
        <v>87</v>
      </c>
      <c r="I173" s="93">
        <v>9</v>
      </c>
      <c r="J173" s="93" t="s">
        <v>45</v>
      </c>
      <c r="K173" s="93" t="s">
        <v>87</v>
      </c>
      <c r="L173" s="93" t="s">
        <v>87</v>
      </c>
      <c r="M173" s="93">
        <v>4</v>
      </c>
      <c r="N173" s="38" t="s">
        <v>45</v>
      </c>
      <c r="O173" s="38" t="s">
        <v>87</v>
      </c>
      <c r="P173" s="38" t="s">
        <v>87</v>
      </c>
      <c r="Q173" s="38" t="s">
        <v>87</v>
      </c>
      <c r="R173" s="38" t="s">
        <v>87</v>
      </c>
      <c r="S173" s="38" t="s">
        <v>87</v>
      </c>
      <c r="T173" s="38" t="s">
        <v>87</v>
      </c>
      <c r="U173" s="38" t="s">
        <v>87</v>
      </c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 t="s">
        <v>87</v>
      </c>
      <c r="AK173" s="38" t="s">
        <v>87</v>
      </c>
      <c r="AL173" s="38" t="s">
        <v>87</v>
      </c>
      <c r="AM173" s="38" t="s">
        <v>87</v>
      </c>
      <c r="AN173" s="38" t="s">
        <v>87</v>
      </c>
      <c r="AO173" s="38" t="s">
        <v>87</v>
      </c>
      <c r="AP173" s="38"/>
      <c r="AQ173" s="38"/>
      <c r="AR173" s="38"/>
      <c r="AS173" s="38"/>
      <c r="AT173" s="38"/>
      <c r="AU173" s="38"/>
      <c r="AV173" s="38">
        <v>37</v>
      </c>
      <c r="AW173" s="38">
        <v>0</v>
      </c>
      <c r="AX173" s="38" t="s">
        <v>130</v>
      </c>
      <c r="AY173" s="38" t="s">
        <v>177</v>
      </c>
      <c r="AZ173" s="38">
        <v>45</v>
      </c>
      <c r="BA173" s="38">
        <v>90</v>
      </c>
      <c r="BB173" s="38">
        <f>IF(AND(PCdb[[#This Row],[BCD]]&gt;UIoptions!$S$10,PCdb[[#This Row],[BCD]]&lt;UIoptions!$T$10),1,0)</f>
        <v>0</v>
      </c>
      <c r="BC173" s="38">
        <f>IF(AND(PCdb[[#This Row],[PD]]&gt;UIoptions!$S$11,PCdb[[#This Row],[PD]]&lt;UIoptions!$T$11),1,0)</f>
        <v>0</v>
      </c>
      <c r="BD173" s="38">
        <f>IF(AND(UIoptions!$P$14&lt;=PCdb[[#This Row],[PL (MAX)]],UIoptions!$P$14&gt;UIoptions!$S$14),1,0)</f>
        <v>1</v>
      </c>
      <c r="BE173" s="38">
        <f>IF(AND(PCdb[[#This Row],[SD]]&gt;UIoptions!$S$12,PCdb[[#This Row],[SD]]&lt;UIoptions!$T$12),1,0)</f>
        <v>0</v>
      </c>
      <c r="BF173" s="38">
        <f>IF(AND(PCdb[[#This Row],[SL]]&gt;UIoptions!$S$13,PCdb[[#This Row],[SL]]&lt;UIoptions!$T$13),1,0)</f>
        <v>0</v>
      </c>
      <c r="BG173" s="38">
        <f>IF(UIoptions!$N$35=1,IF(AND(PCdb[[#This Row],[SQ_SZ]]&gt;UIoptions!$S$15,PCdb[[#This Row],[SQ_SZ]]&lt;UIoptions!$T$15),1,0),1)</f>
        <v>0</v>
      </c>
      <c r="BH173" s="38">
        <f>IF(UIoptions!$N$35=2,IF(AND(PCdb[[#This Row],[ROUND_D]]&gt;UIoptions!$S$15,PCdb[[#This Row],[ROUND_D]]&lt;UIoptions!$T$15),1,0),1)</f>
        <v>1</v>
      </c>
      <c r="BI173" s="38">
        <f>IF(UIoptions!$N$75&lt;&gt;1,1,IF(AND(PCdb[[#This Row],[FL]]&gt;UIoptions!$S$16,PCdb[[#This Row],[FL]]&lt;UIoptions!$T$16),1,0))</f>
        <v>0</v>
      </c>
      <c r="BJ173" s="38" t="e">
        <f>IF(OR(UIoptions!$Q$18=PCdb[[#This Row],[THRU_SCREW]],UIoptions!$Q$18="NA"),1,0)</f>
        <v>#N/A</v>
      </c>
      <c r="BK173" s="38">
        <f>IF(OR(UIoptions!$P$19=PCdb[[#This Row],[THREAD_SZ]],UIoptions!$P$19="NA"),1,0)</f>
        <v>1</v>
      </c>
      <c r="BL173" s="38">
        <f>IF(UIoptions!$N$75=1,1,IF(AND(PCdb[[#This Row],[THREAD_L]]&gt;UIoptions!$S$17,PCdb[[#This Row],[THREAD_L]]&lt;UIoptions!$T$17),1,0))</f>
        <v>1</v>
      </c>
      <c r="BM173" s="38" t="e">
        <f>IF(SUM(PCdb[[#This Row],[BDhit]:[THREAD_Lhit]])=11,1,0)</f>
        <v>#N/A</v>
      </c>
      <c r="BN17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90704143280NA9M5NANA4</v>
      </c>
      <c r="BO173" s="38" t="e">
        <f>SUM(PCdb[[#This Row],[BDhit]:[THREAD_Lhit]])</f>
        <v>#N/A</v>
      </c>
    </row>
    <row r="174" spans="1:67" x14ac:dyDescent="0.25">
      <c r="A174" s="7">
        <v>169</v>
      </c>
      <c r="B174" s="93">
        <v>98.6</v>
      </c>
      <c r="C174" s="93">
        <v>73.03</v>
      </c>
      <c r="D174" s="93">
        <v>4</v>
      </c>
      <c r="E174" s="93">
        <v>9.5299999999999994</v>
      </c>
      <c r="F174" s="93">
        <v>31.8</v>
      </c>
      <c r="G174" s="93">
        <v>86.4</v>
      </c>
      <c r="H174" s="93" t="s">
        <v>87</v>
      </c>
      <c r="I174" s="93">
        <v>8.4</v>
      </c>
      <c r="J174" s="93" t="s">
        <v>45</v>
      </c>
      <c r="K174" s="93" t="s">
        <v>87</v>
      </c>
      <c r="L174" s="93" t="s">
        <v>87</v>
      </c>
      <c r="M174" s="93">
        <v>4</v>
      </c>
      <c r="N174" s="38" t="s">
        <v>45</v>
      </c>
      <c r="O174" s="38" t="s">
        <v>87</v>
      </c>
      <c r="P174" s="38" t="s">
        <v>87</v>
      </c>
      <c r="Q174" s="38" t="s">
        <v>87</v>
      </c>
      <c r="R174" s="38" t="s">
        <v>87</v>
      </c>
      <c r="S174" s="38" t="s">
        <v>87</v>
      </c>
      <c r="T174" s="38" t="s">
        <v>87</v>
      </c>
      <c r="U174" s="38" t="s">
        <v>87</v>
      </c>
      <c r="V174" s="38"/>
      <c r="W174" s="38"/>
      <c r="X174" s="38"/>
      <c r="Y174" s="38"/>
      <c r="Z174" s="38"/>
      <c r="AA174" s="38"/>
      <c r="AB174" s="38"/>
      <c r="AC174" s="38">
        <v>45.2</v>
      </c>
      <c r="AD174" s="38">
        <v>39</v>
      </c>
      <c r="AE174" s="38">
        <v>0</v>
      </c>
      <c r="AF174" s="38" t="s">
        <v>130</v>
      </c>
      <c r="AG174" s="38" t="s">
        <v>172</v>
      </c>
      <c r="AH174" s="38">
        <v>45</v>
      </c>
      <c r="AI174" s="38">
        <v>90</v>
      </c>
      <c r="AJ174" s="38" t="s">
        <v>87</v>
      </c>
      <c r="AK174" s="38" t="s">
        <v>87</v>
      </c>
      <c r="AL174" s="38" t="s">
        <v>87</v>
      </c>
      <c r="AM174" s="38" t="s">
        <v>87</v>
      </c>
      <c r="AN174" s="38" t="s">
        <v>87</v>
      </c>
      <c r="AO174" s="38" t="s">
        <v>87</v>
      </c>
      <c r="AP174" s="38" t="s">
        <v>87</v>
      </c>
      <c r="AQ174" s="38" t="s">
        <v>87</v>
      </c>
      <c r="AR174" s="38" t="s">
        <v>87</v>
      </c>
      <c r="AS174" s="38" t="s">
        <v>87</v>
      </c>
      <c r="AT174" s="38" t="s">
        <v>87</v>
      </c>
      <c r="AU174" s="38" t="s">
        <v>87</v>
      </c>
      <c r="AV174" s="38"/>
      <c r="AW174" s="38"/>
      <c r="AX174" s="38"/>
      <c r="AY174" s="38"/>
      <c r="AZ174" s="38"/>
      <c r="BA174" s="38"/>
      <c r="BB174" s="38">
        <f>IF(AND(PCdb[[#This Row],[BCD]]&gt;UIoptions!$S$10,PCdb[[#This Row],[BCD]]&lt;UIoptions!$T$10),1,0)</f>
        <v>0</v>
      </c>
      <c r="BC174" s="38">
        <f>IF(AND(PCdb[[#This Row],[PD]]&gt;UIoptions!$S$11,PCdb[[#This Row],[PD]]&lt;UIoptions!$T$11),1,0)</f>
        <v>0</v>
      </c>
      <c r="BD174" s="38">
        <f>IF(AND(UIoptions!$P$14&lt;=PCdb[[#This Row],[PL (MAX)]],UIoptions!$P$14&gt;UIoptions!$S$14),1,0)</f>
        <v>1</v>
      </c>
      <c r="BE174" s="38">
        <f>IF(AND(PCdb[[#This Row],[SD]]&gt;UIoptions!$S$12,PCdb[[#This Row],[SD]]&lt;UIoptions!$T$12),1,0)</f>
        <v>0</v>
      </c>
      <c r="BF174" s="38">
        <f>IF(AND(PCdb[[#This Row],[SL]]&gt;UIoptions!$S$13,PCdb[[#This Row],[SL]]&lt;UIoptions!$T$13),1,0)</f>
        <v>0</v>
      </c>
      <c r="BG174" s="38">
        <f>IF(UIoptions!$N$35=1,IF(AND(PCdb[[#This Row],[SQ_SZ]]&gt;UIoptions!$S$15,PCdb[[#This Row],[SQ_SZ]]&lt;UIoptions!$T$15),1,0),1)</f>
        <v>0</v>
      </c>
      <c r="BH174" s="38">
        <f>IF(UIoptions!$N$35=2,IF(AND(PCdb[[#This Row],[ROUND_D]]&gt;UIoptions!$S$15,PCdb[[#This Row],[ROUND_D]]&lt;UIoptions!$T$15),1,0),1)</f>
        <v>1</v>
      </c>
      <c r="BI174" s="38">
        <f>IF(UIoptions!$N$75&lt;&gt;1,1,IF(AND(PCdb[[#This Row],[FL]]&gt;UIoptions!$S$16,PCdb[[#This Row],[FL]]&lt;UIoptions!$T$16),1,0))</f>
        <v>0</v>
      </c>
      <c r="BJ174" s="38" t="e">
        <f>IF(OR(UIoptions!$Q$18=PCdb[[#This Row],[THRU_SCREW]],UIoptions!$Q$18="NA"),1,0)</f>
        <v>#N/A</v>
      </c>
      <c r="BK174" s="38">
        <f>IF(OR(UIoptions!$P$19=PCdb[[#This Row],[THREAD_SZ]],UIoptions!$P$19="NA"),1,0)</f>
        <v>1</v>
      </c>
      <c r="BL174" s="38">
        <f>IF(UIoptions!$N$75=1,1,IF(AND(PCdb[[#This Row],[THREAD_L]]&gt;UIoptions!$S$17,PCdb[[#This Row],[THREAD_L]]&lt;UIoptions!$T$17),1,0))</f>
        <v>1</v>
      </c>
      <c r="BM174" s="38" t="e">
        <f>IF(SUM(PCdb[[#This Row],[BDhit]:[THREAD_Lhit]])=11,1,0)</f>
        <v>#N/A</v>
      </c>
      <c r="BN17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98.673.0349.5331.886.4NA8.4M5NANA4</v>
      </c>
      <c r="BO174" s="38" t="e">
        <f>SUM(PCdb[[#This Row],[BDhit]:[THREAD_Lhit]])</f>
        <v>#N/A</v>
      </c>
    </row>
    <row r="175" spans="1:67" x14ac:dyDescent="0.25">
      <c r="A175" s="7">
        <v>170</v>
      </c>
      <c r="B175" s="93">
        <v>63</v>
      </c>
      <c r="C175" s="93">
        <v>40</v>
      </c>
      <c r="D175" s="93">
        <v>4</v>
      </c>
      <c r="E175" s="93">
        <v>9</v>
      </c>
      <c r="F175" s="93">
        <v>20</v>
      </c>
      <c r="G175" s="93">
        <v>55</v>
      </c>
      <c r="H175" s="93" t="s">
        <v>87</v>
      </c>
      <c r="I175" s="93">
        <v>11</v>
      </c>
      <c r="J175" s="93" t="s">
        <v>45</v>
      </c>
      <c r="K175" s="93" t="s">
        <v>87</v>
      </c>
      <c r="L175" s="93" t="s">
        <v>87</v>
      </c>
      <c r="M175" s="93">
        <v>4</v>
      </c>
      <c r="N175" s="38" t="s">
        <v>45</v>
      </c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>
        <v>22</v>
      </c>
      <c r="AW175" s="38">
        <v>0</v>
      </c>
      <c r="AX175" s="38" t="s">
        <v>130</v>
      </c>
      <c r="AY175" s="38" t="s">
        <v>176</v>
      </c>
      <c r="AZ175" s="38">
        <v>45</v>
      </c>
      <c r="BA175" s="38">
        <v>90</v>
      </c>
      <c r="BB175" s="38">
        <f>IF(AND(PCdb[[#This Row],[BCD]]&gt;UIoptions!$S$10,PCdb[[#This Row],[BCD]]&lt;UIoptions!$T$10),1,0)</f>
        <v>0</v>
      </c>
      <c r="BC175" s="38">
        <f>IF(AND(PCdb[[#This Row],[PD]]&gt;UIoptions!$S$11,PCdb[[#This Row],[PD]]&lt;UIoptions!$T$11),1,0)</f>
        <v>0</v>
      </c>
      <c r="BD175" s="38">
        <f>IF(AND(UIoptions!$P$14&lt;=PCdb[[#This Row],[PL (MAX)]],UIoptions!$P$14&gt;UIoptions!$S$14),1,0)</f>
        <v>1</v>
      </c>
      <c r="BE175" s="38">
        <f>IF(AND(PCdb[[#This Row],[SD]]&gt;UIoptions!$S$12,PCdb[[#This Row],[SD]]&lt;UIoptions!$T$12),1,0)</f>
        <v>0</v>
      </c>
      <c r="BF175" s="38">
        <f>IF(AND(PCdb[[#This Row],[SL]]&gt;UIoptions!$S$13,PCdb[[#This Row],[SL]]&lt;UIoptions!$T$13),1,0)</f>
        <v>0</v>
      </c>
      <c r="BG175" s="38">
        <f>IF(UIoptions!$N$35=1,IF(AND(PCdb[[#This Row],[SQ_SZ]]&gt;UIoptions!$S$15,PCdb[[#This Row],[SQ_SZ]]&lt;UIoptions!$T$15),1,0),1)</f>
        <v>0</v>
      </c>
      <c r="BH175" s="38">
        <f>IF(UIoptions!$N$35=2,IF(AND(PCdb[[#This Row],[ROUND_D]]&gt;UIoptions!$S$15,PCdb[[#This Row],[ROUND_D]]&lt;UIoptions!$T$15),1,0),1)</f>
        <v>1</v>
      </c>
      <c r="BI175" s="38">
        <f>IF(UIoptions!$N$75&lt;&gt;1,1,IF(AND(PCdb[[#This Row],[FL]]&gt;UIoptions!$S$16,PCdb[[#This Row],[FL]]&lt;UIoptions!$T$16),1,0))</f>
        <v>0</v>
      </c>
      <c r="BJ175" s="38" t="e">
        <f>IF(OR(UIoptions!$Q$18=PCdb[[#This Row],[THRU_SCREW]],UIoptions!$Q$18="NA"),1,0)</f>
        <v>#N/A</v>
      </c>
      <c r="BK175" s="38">
        <f>IF(OR(UIoptions!$P$19=PCdb[[#This Row],[THREAD_SZ]],UIoptions!$P$19="NA"),1,0)</f>
        <v>1</v>
      </c>
      <c r="BL175" s="38">
        <f>IF(UIoptions!$N$75=1,1,IF(AND(PCdb[[#This Row],[THREAD_L]]&gt;UIoptions!$S$17,PCdb[[#This Row],[THREAD_L]]&lt;UIoptions!$T$17),1,0))</f>
        <v>1</v>
      </c>
      <c r="BM175" s="38" t="e">
        <f>IF(SUM(PCdb[[#This Row],[BDhit]:[THREAD_Lhit]])=11,1,0)</f>
        <v>#N/A</v>
      </c>
      <c r="BN17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6340492055NA11M5NANA4</v>
      </c>
      <c r="BO175" s="38" t="e">
        <f>SUM(PCdb[[#This Row],[BDhit]:[THREAD_Lhit]])</f>
        <v>#N/A</v>
      </c>
    </row>
    <row r="176" spans="1:67" x14ac:dyDescent="0.25">
      <c r="A176" s="7">
        <v>171</v>
      </c>
      <c r="B176" s="93">
        <v>66.7</v>
      </c>
      <c r="C176" s="93">
        <v>38.1</v>
      </c>
      <c r="D176" s="93">
        <v>4</v>
      </c>
      <c r="E176" s="93">
        <v>6.35</v>
      </c>
      <c r="F176" s="93">
        <v>19.100000000000001</v>
      </c>
      <c r="G176" s="93">
        <v>56.4</v>
      </c>
      <c r="H176" s="93" t="s">
        <v>87</v>
      </c>
      <c r="I176" s="93">
        <v>4.8</v>
      </c>
      <c r="J176" s="93" t="s">
        <v>7</v>
      </c>
      <c r="K176" s="93" t="s">
        <v>87</v>
      </c>
      <c r="L176" s="93" t="s">
        <v>87</v>
      </c>
      <c r="M176" s="93">
        <v>4</v>
      </c>
      <c r="N176" s="38" t="s">
        <v>7</v>
      </c>
      <c r="O176" s="38">
        <v>38.700000000000003</v>
      </c>
      <c r="P176" s="38">
        <v>22</v>
      </c>
      <c r="Q176" s="38">
        <v>0</v>
      </c>
      <c r="R176" s="38" t="s">
        <v>130</v>
      </c>
      <c r="S176" s="38" t="s">
        <v>172</v>
      </c>
      <c r="T176" s="38">
        <v>45</v>
      </c>
      <c r="U176" s="38">
        <v>90</v>
      </c>
      <c r="V176" s="38" t="s">
        <v>87</v>
      </c>
      <c r="W176" s="38" t="s">
        <v>87</v>
      </c>
      <c r="X176" s="38" t="s">
        <v>87</v>
      </c>
      <c r="Y176" s="38" t="s">
        <v>87</v>
      </c>
      <c r="Z176" s="38" t="s">
        <v>87</v>
      </c>
      <c r="AA176" s="38" t="s">
        <v>87</v>
      </c>
      <c r="AB176" s="38" t="s">
        <v>87</v>
      </c>
      <c r="AC176" s="38" t="s">
        <v>87</v>
      </c>
      <c r="AD176" s="38" t="s">
        <v>87</v>
      </c>
      <c r="AE176" s="38" t="s">
        <v>87</v>
      </c>
      <c r="AF176" s="38" t="s">
        <v>87</v>
      </c>
      <c r="AG176" s="38" t="s">
        <v>87</v>
      </c>
      <c r="AH176" s="38" t="s">
        <v>87</v>
      </c>
      <c r="AI176" s="38" t="s">
        <v>87</v>
      </c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>
        <f>IF(AND(PCdb[[#This Row],[BCD]]&gt;UIoptions!$S$10,PCdb[[#This Row],[BCD]]&lt;UIoptions!$T$10),1,0)</f>
        <v>0</v>
      </c>
      <c r="BC176" s="38">
        <f>IF(AND(PCdb[[#This Row],[PD]]&gt;UIoptions!$S$11,PCdb[[#This Row],[PD]]&lt;UIoptions!$T$11),1,0)</f>
        <v>0</v>
      </c>
      <c r="BD176" s="38">
        <f>IF(AND(UIoptions!$P$14&lt;=PCdb[[#This Row],[PL (MAX)]],UIoptions!$P$14&gt;UIoptions!$S$14),1,0)</f>
        <v>1</v>
      </c>
      <c r="BE176" s="38">
        <f>IF(AND(PCdb[[#This Row],[SD]]&gt;UIoptions!$S$12,PCdb[[#This Row],[SD]]&lt;UIoptions!$T$12),1,0)</f>
        <v>0</v>
      </c>
      <c r="BF176" s="38">
        <f>IF(AND(PCdb[[#This Row],[SL]]&gt;UIoptions!$S$13,PCdb[[#This Row],[SL]]&lt;UIoptions!$T$13),1,0)</f>
        <v>0</v>
      </c>
      <c r="BG176" s="38">
        <f>IF(UIoptions!$N$35=1,IF(AND(PCdb[[#This Row],[SQ_SZ]]&gt;UIoptions!$S$15,PCdb[[#This Row],[SQ_SZ]]&lt;UIoptions!$T$15),1,0),1)</f>
        <v>0</v>
      </c>
      <c r="BH176" s="38">
        <f>IF(UIoptions!$N$35=2,IF(AND(PCdb[[#This Row],[ROUND_D]]&gt;UIoptions!$S$15,PCdb[[#This Row],[ROUND_D]]&lt;UIoptions!$T$15),1,0),1)</f>
        <v>1</v>
      </c>
      <c r="BI176" s="38">
        <f>IF(UIoptions!$N$75&lt;&gt;1,1,IF(AND(PCdb[[#This Row],[FL]]&gt;UIoptions!$S$16,PCdb[[#This Row],[FL]]&lt;UIoptions!$T$16),1,0))</f>
        <v>0</v>
      </c>
      <c r="BJ176" s="38" t="e">
        <f>IF(OR(UIoptions!$Q$18=PCdb[[#This Row],[THRU_SCREW]],UIoptions!$Q$18="NA"),1,0)</f>
        <v>#N/A</v>
      </c>
      <c r="BK176" s="38">
        <f>IF(OR(UIoptions!$P$19=PCdb[[#This Row],[THREAD_SZ]],UIoptions!$P$19="NA"),1,0)</f>
        <v>1</v>
      </c>
      <c r="BL176" s="38">
        <f>IF(UIoptions!$N$75=1,1,IF(AND(PCdb[[#This Row],[THREAD_L]]&gt;UIoptions!$S$17,PCdb[[#This Row],[THREAD_L]]&lt;UIoptions!$T$17),1,0))</f>
        <v>1</v>
      </c>
      <c r="BM176" s="38" t="e">
        <f>IF(SUM(PCdb[[#This Row],[BDhit]:[THREAD_Lhit]])=11,1,0)</f>
        <v>#N/A</v>
      </c>
      <c r="BN17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66.738.146.3519.156.4NA4.8M4NANA4</v>
      </c>
      <c r="BO176" s="38" t="e">
        <f>SUM(PCdb[[#This Row],[BDhit]:[THREAD_Lhit]])</f>
        <v>#N/A</v>
      </c>
    </row>
    <row r="177" spans="1:67" x14ac:dyDescent="0.25">
      <c r="A177" s="7">
        <v>172</v>
      </c>
      <c r="B177" s="93">
        <v>99</v>
      </c>
      <c r="C177" s="93">
        <v>60</v>
      </c>
      <c r="D177" s="93">
        <v>4</v>
      </c>
      <c r="E177" s="93">
        <v>14</v>
      </c>
      <c r="F177" s="93">
        <v>37</v>
      </c>
      <c r="G177" s="93">
        <v>85</v>
      </c>
      <c r="H177" s="93" t="s">
        <v>87</v>
      </c>
      <c r="I177" s="93">
        <v>10</v>
      </c>
      <c r="J177" s="93" t="s">
        <v>49</v>
      </c>
      <c r="K177" s="93" t="s">
        <v>87</v>
      </c>
      <c r="L177" s="93" t="s">
        <v>87</v>
      </c>
      <c r="M177" s="93">
        <v>4</v>
      </c>
      <c r="N177" s="38" t="s">
        <v>49</v>
      </c>
      <c r="O177" s="38" t="s">
        <v>87</v>
      </c>
      <c r="P177" s="38" t="s">
        <v>87</v>
      </c>
      <c r="Q177" s="38" t="s">
        <v>87</v>
      </c>
      <c r="R177" s="38" t="s">
        <v>87</v>
      </c>
      <c r="S177" s="38" t="s">
        <v>87</v>
      </c>
      <c r="T177" s="38" t="s">
        <v>87</v>
      </c>
      <c r="U177" s="38" t="s">
        <v>87</v>
      </c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 t="s">
        <v>87</v>
      </c>
      <c r="AK177" s="38" t="s">
        <v>87</v>
      </c>
      <c r="AL177" s="38" t="s">
        <v>87</v>
      </c>
      <c r="AM177" s="38" t="s">
        <v>87</v>
      </c>
      <c r="AN177" s="38" t="s">
        <v>87</v>
      </c>
      <c r="AO177" s="38" t="s">
        <v>87</v>
      </c>
      <c r="AP177" s="38" t="s">
        <v>87</v>
      </c>
      <c r="AQ177" s="38" t="s">
        <v>87</v>
      </c>
      <c r="AR177" s="38" t="s">
        <v>87</v>
      </c>
      <c r="AS177" s="38" t="s">
        <v>87</v>
      </c>
      <c r="AT177" s="38" t="s">
        <v>87</v>
      </c>
      <c r="AU177" s="38" t="s">
        <v>87</v>
      </c>
      <c r="AV177" s="38">
        <v>35</v>
      </c>
      <c r="AW177" s="38">
        <v>0</v>
      </c>
      <c r="AX177" s="38" t="s">
        <v>130</v>
      </c>
      <c r="AY177" s="38" t="s">
        <v>177</v>
      </c>
      <c r="AZ177" s="38">
        <v>45</v>
      </c>
      <c r="BA177" s="38">
        <v>90</v>
      </c>
      <c r="BB177" s="38">
        <f>IF(AND(PCdb[[#This Row],[BCD]]&gt;UIoptions!$S$10,PCdb[[#This Row],[BCD]]&lt;UIoptions!$T$10),1,0)</f>
        <v>0</v>
      </c>
      <c r="BC177" s="38">
        <f>IF(AND(PCdb[[#This Row],[PD]]&gt;UIoptions!$S$11,PCdb[[#This Row],[PD]]&lt;UIoptions!$T$11),1,0)</f>
        <v>1</v>
      </c>
      <c r="BD177" s="38">
        <f>IF(AND(UIoptions!$P$14&lt;=PCdb[[#This Row],[PL (MAX)]],UIoptions!$P$14&gt;UIoptions!$S$14),1,0)</f>
        <v>1</v>
      </c>
      <c r="BE177" s="38">
        <f>IF(AND(PCdb[[#This Row],[SD]]&gt;UIoptions!$S$12,PCdb[[#This Row],[SD]]&lt;UIoptions!$T$12),1,0)</f>
        <v>0</v>
      </c>
      <c r="BF177" s="38">
        <f>IF(AND(PCdb[[#This Row],[SL]]&gt;UIoptions!$S$13,PCdb[[#This Row],[SL]]&lt;UIoptions!$T$13),1,0)</f>
        <v>0</v>
      </c>
      <c r="BG177" s="38">
        <f>IF(UIoptions!$N$35=1,IF(AND(PCdb[[#This Row],[SQ_SZ]]&gt;UIoptions!$S$15,PCdb[[#This Row],[SQ_SZ]]&lt;UIoptions!$T$15),1,0),1)</f>
        <v>0</v>
      </c>
      <c r="BH177" s="38">
        <f>IF(UIoptions!$N$35=2,IF(AND(PCdb[[#This Row],[ROUND_D]]&gt;UIoptions!$S$15,PCdb[[#This Row],[ROUND_D]]&lt;UIoptions!$T$15),1,0),1)</f>
        <v>1</v>
      </c>
      <c r="BI177" s="38">
        <f>IF(UIoptions!$N$75&lt;&gt;1,1,IF(AND(PCdb[[#This Row],[FL]]&gt;UIoptions!$S$16,PCdb[[#This Row],[FL]]&lt;UIoptions!$T$16),1,0))</f>
        <v>0</v>
      </c>
      <c r="BJ177" s="38" t="e">
        <f>IF(OR(UIoptions!$Q$18=PCdb[[#This Row],[THRU_SCREW]],UIoptions!$Q$18="NA"),1,0)</f>
        <v>#N/A</v>
      </c>
      <c r="BK177" s="38">
        <f>IF(OR(UIoptions!$P$19=PCdb[[#This Row],[THREAD_SZ]],UIoptions!$P$19="NA"),1,0)</f>
        <v>1</v>
      </c>
      <c r="BL177" s="38">
        <f>IF(UIoptions!$N$75=1,1,IF(AND(PCdb[[#This Row],[THREAD_L]]&gt;UIoptions!$S$17,PCdb[[#This Row],[THREAD_L]]&lt;UIoptions!$T$17),1,0))</f>
        <v>1</v>
      </c>
      <c r="BM177" s="38" t="e">
        <f>IF(SUM(PCdb[[#This Row],[BDhit]:[THREAD_Lhit]])=11,1,0)</f>
        <v>#N/A</v>
      </c>
      <c r="BN17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99604143785NA10M6NANA4</v>
      </c>
      <c r="BO177" s="38" t="e">
        <f>SUM(PCdb[[#This Row],[BDhit]:[THREAD_Lhit]])</f>
        <v>#N/A</v>
      </c>
    </row>
    <row r="178" spans="1:67" x14ac:dyDescent="0.25">
      <c r="A178" s="7">
        <v>173</v>
      </c>
      <c r="B178" s="93">
        <v>98.4</v>
      </c>
      <c r="C178" s="93">
        <v>73.02</v>
      </c>
      <c r="D178" s="93">
        <v>4</v>
      </c>
      <c r="E178" s="93">
        <v>14</v>
      </c>
      <c r="F178" s="93">
        <v>30.6</v>
      </c>
      <c r="G178" s="93">
        <v>85.9</v>
      </c>
      <c r="H178" s="93" t="s">
        <v>87</v>
      </c>
      <c r="I178" s="93">
        <v>8.4</v>
      </c>
      <c r="J178" s="93" t="s">
        <v>45</v>
      </c>
      <c r="K178" s="93" t="s">
        <v>87</v>
      </c>
      <c r="L178" s="93" t="s">
        <v>87</v>
      </c>
      <c r="M178" s="93">
        <v>4</v>
      </c>
      <c r="N178" s="38" t="s">
        <v>45</v>
      </c>
      <c r="O178" s="38" t="s">
        <v>87</v>
      </c>
      <c r="P178" s="38" t="s">
        <v>87</v>
      </c>
      <c r="Q178" s="38" t="s">
        <v>87</v>
      </c>
      <c r="R178" s="38" t="s">
        <v>87</v>
      </c>
      <c r="S178" s="38" t="s">
        <v>87</v>
      </c>
      <c r="T178" s="38" t="s">
        <v>87</v>
      </c>
      <c r="U178" s="38" t="s">
        <v>87</v>
      </c>
      <c r="V178" s="38">
        <v>41.7</v>
      </c>
      <c r="W178" s="38">
        <v>37.5</v>
      </c>
      <c r="X178" s="38">
        <v>0</v>
      </c>
      <c r="Y178" s="38" t="s">
        <v>130</v>
      </c>
      <c r="Z178" s="38" t="s">
        <v>172</v>
      </c>
      <c r="AA178" s="38">
        <v>45</v>
      </c>
      <c r="AB178" s="38">
        <v>90</v>
      </c>
      <c r="AC178" s="38"/>
      <c r="AD178" s="38"/>
      <c r="AE178" s="38"/>
      <c r="AF178" s="38"/>
      <c r="AG178" s="38"/>
      <c r="AH178" s="38"/>
      <c r="AI178" s="38"/>
      <c r="AJ178" s="38" t="s">
        <v>87</v>
      </c>
      <c r="AK178" s="38" t="s">
        <v>87</v>
      </c>
      <c r="AL178" s="38" t="s">
        <v>87</v>
      </c>
      <c r="AM178" s="38" t="s">
        <v>87</v>
      </c>
      <c r="AN178" s="38" t="s">
        <v>87</v>
      </c>
      <c r="AO178" s="38" t="s">
        <v>87</v>
      </c>
      <c r="AP178" s="38" t="s">
        <v>87</v>
      </c>
      <c r="AQ178" s="38" t="s">
        <v>87</v>
      </c>
      <c r="AR178" s="38" t="s">
        <v>87</v>
      </c>
      <c r="AS178" s="38" t="s">
        <v>87</v>
      </c>
      <c r="AT178" s="38" t="s">
        <v>87</v>
      </c>
      <c r="AU178" s="38" t="s">
        <v>87</v>
      </c>
      <c r="AV178" s="38"/>
      <c r="AW178" s="38"/>
      <c r="AX178" s="38"/>
      <c r="AY178" s="38"/>
      <c r="AZ178" s="38"/>
      <c r="BA178" s="38"/>
      <c r="BB178" s="38">
        <f>IF(AND(PCdb[[#This Row],[BCD]]&gt;UIoptions!$S$10,PCdb[[#This Row],[BCD]]&lt;UIoptions!$T$10),1,0)</f>
        <v>0</v>
      </c>
      <c r="BC178" s="38">
        <f>IF(AND(PCdb[[#This Row],[PD]]&gt;UIoptions!$S$11,PCdb[[#This Row],[PD]]&lt;UIoptions!$T$11),1,0)</f>
        <v>0</v>
      </c>
      <c r="BD178" s="38">
        <f>IF(AND(UIoptions!$P$14&lt;=PCdb[[#This Row],[PL (MAX)]],UIoptions!$P$14&gt;UIoptions!$S$14),1,0)</f>
        <v>1</v>
      </c>
      <c r="BE178" s="38">
        <f>IF(AND(PCdb[[#This Row],[SD]]&gt;UIoptions!$S$12,PCdb[[#This Row],[SD]]&lt;UIoptions!$T$12),1,0)</f>
        <v>0</v>
      </c>
      <c r="BF178" s="38">
        <f>IF(AND(PCdb[[#This Row],[SL]]&gt;UIoptions!$S$13,PCdb[[#This Row],[SL]]&lt;UIoptions!$T$13),1,0)</f>
        <v>0</v>
      </c>
      <c r="BG178" s="38">
        <f>IF(UIoptions!$N$35=1,IF(AND(PCdb[[#This Row],[SQ_SZ]]&gt;UIoptions!$S$15,PCdb[[#This Row],[SQ_SZ]]&lt;UIoptions!$T$15),1,0),1)</f>
        <v>0</v>
      </c>
      <c r="BH178" s="38">
        <f>IF(UIoptions!$N$35=2,IF(AND(PCdb[[#This Row],[ROUND_D]]&gt;UIoptions!$S$15,PCdb[[#This Row],[ROUND_D]]&lt;UIoptions!$T$15),1,0),1)</f>
        <v>1</v>
      </c>
      <c r="BI178" s="38">
        <f>IF(UIoptions!$N$75&lt;&gt;1,1,IF(AND(PCdb[[#This Row],[FL]]&gt;UIoptions!$S$16,PCdb[[#This Row],[FL]]&lt;UIoptions!$T$16),1,0))</f>
        <v>0</v>
      </c>
      <c r="BJ178" s="38" t="e">
        <f>IF(OR(UIoptions!$Q$18=PCdb[[#This Row],[THRU_SCREW]],UIoptions!$Q$18="NA"),1,0)</f>
        <v>#N/A</v>
      </c>
      <c r="BK178" s="38">
        <f>IF(OR(UIoptions!$P$19=PCdb[[#This Row],[THREAD_SZ]],UIoptions!$P$19="NA"),1,0)</f>
        <v>1</v>
      </c>
      <c r="BL178" s="38">
        <f>IF(UIoptions!$N$75=1,1,IF(AND(PCdb[[#This Row],[THREAD_L]]&gt;UIoptions!$S$17,PCdb[[#This Row],[THREAD_L]]&lt;UIoptions!$T$17),1,0))</f>
        <v>1</v>
      </c>
      <c r="BM178" s="38" t="e">
        <f>IF(SUM(PCdb[[#This Row],[BDhit]:[THREAD_Lhit]])=11,1,0)</f>
        <v>#N/A</v>
      </c>
      <c r="BN17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98.473.0241430.685.9NA8.4M5NANA4</v>
      </c>
      <c r="BO178" s="38" t="e">
        <f>SUM(PCdb[[#This Row],[BDhit]:[THREAD_Lhit]])</f>
        <v>#N/A</v>
      </c>
    </row>
    <row r="179" spans="1:67" x14ac:dyDescent="0.25">
      <c r="A179" s="7">
        <v>174</v>
      </c>
      <c r="B179" s="93">
        <v>63</v>
      </c>
      <c r="C179" s="93">
        <v>40</v>
      </c>
      <c r="D179" s="93">
        <v>4</v>
      </c>
      <c r="E179" s="93">
        <v>9</v>
      </c>
      <c r="F179" s="93">
        <v>20</v>
      </c>
      <c r="G179" s="93">
        <v>54.7</v>
      </c>
      <c r="H179" s="93" t="s">
        <v>87</v>
      </c>
      <c r="I179" s="93">
        <v>9</v>
      </c>
      <c r="J179" s="93" t="s">
        <v>45</v>
      </c>
      <c r="K179" s="93" t="s">
        <v>87</v>
      </c>
      <c r="L179" s="93" t="s">
        <v>87</v>
      </c>
      <c r="M179" s="93">
        <v>4</v>
      </c>
      <c r="N179" s="38" t="s">
        <v>45</v>
      </c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>
        <v>23</v>
      </c>
      <c r="AK179" s="38">
        <v>0</v>
      </c>
      <c r="AL179" s="38" t="s">
        <v>130</v>
      </c>
      <c r="AM179" s="38" t="s">
        <v>177</v>
      </c>
      <c r="AN179" s="38">
        <v>45</v>
      </c>
      <c r="AO179" s="38">
        <v>90</v>
      </c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>
        <f>IF(AND(PCdb[[#This Row],[BCD]]&gt;UIoptions!$S$10,PCdb[[#This Row],[BCD]]&lt;UIoptions!$T$10),1,0)</f>
        <v>0</v>
      </c>
      <c r="BC179" s="38">
        <f>IF(AND(PCdb[[#This Row],[PD]]&gt;UIoptions!$S$11,PCdb[[#This Row],[PD]]&lt;UIoptions!$T$11),1,0)</f>
        <v>0</v>
      </c>
      <c r="BD179" s="38">
        <f>IF(AND(UIoptions!$P$14&lt;=PCdb[[#This Row],[PL (MAX)]],UIoptions!$P$14&gt;UIoptions!$S$14),1,0)</f>
        <v>1</v>
      </c>
      <c r="BE179" s="38">
        <f>IF(AND(PCdb[[#This Row],[SD]]&gt;UIoptions!$S$12,PCdb[[#This Row],[SD]]&lt;UIoptions!$T$12),1,0)</f>
        <v>0</v>
      </c>
      <c r="BF179" s="38">
        <f>IF(AND(PCdb[[#This Row],[SL]]&gt;UIoptions!$S$13,PCdb[[#This Row],[SL]]&lt;UIoptions!$T$13),1,0)</f>
        <v>0</v>
      </c>
      <c r="BG179" s="38">
        <f>IF(UIoptions!$N$35=1,IF(AND(PCdb[[#This Row],[SQ_SZ]]&gt;UIoptions!$S$15,PCdb[[#This Row],[SQ_SZ]]&lt;UIoptions!$T$15),1,0),1)</f>
        <v>0</v>
      </c>
      <c r="BH179" s="38">
        <f>IF(UIoptions!$N$35=2,IF(AND(PCdb[[#This Row],[ROUND_D]]&gt;UIoptions!$S$15,PCdb[[#This Row],[ROUND_D]]&lt;UIoptions!$T$15),1,0),1)</f>
        <v>1</v>
      </c>
      <c r="BI179" s="38">
        <f>IF(UIoptions!$N$75&lt;&gt;1,1,IF(AND(PCdb[[#This Row],[FL]]&gt;UIoptions!$S$16,PCdb[[#This Row],[FL]]&lt;UIoptions!$T$16),1,0))</f>
        <v>0</v>
      </c>
      <c r="BJ179" s="38" t="e">
        <f>IF(OR(UIoptions!$Q$18=PCdb[[#This Row],[THRU_SCREW]],UIoptions!$Q$18="NA"),1,0)</f>
        <v>#N/A</v>
      </c>
      <c r="BK179" s="38">
        <f>IF(OR(UIoptions!$P$19=PCdb[[#This Row],[THREAD_SZ]],UIoptions!$P$19="NA"),1,0)</f>
        <v>1</v>
      </c>
      <c r="BL179" s="38">
        <f>IF(UIoptions!$N$75=1,1,IF(AND(PCdb[[#This Row],[THREAD_L]]&gt;UIoptions!$S$17,PCdb[[#This Row],[THREAD_L]]&lt;UIoptions!$T$17),1,0))</f>
        <v>1</v>
      </c>
      <c r="BM179" s="38" t="e">
        <f>IF(SUM(PCdb[[#This Row],[BDhit]:[THREAD_Lhit]])=11,1,0)</f>
        <v>#N/A</v>
      </c>
      <c r="BN17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6340492054.7NA9M5NANA4</v>
      </c>
      <c r="BO179" s="38" t="e">
        <f>SUM(PCdb[[#This Row],[BDhit]:[THREAD_Lhit]])</f>
        <v>#N/A</v>
      </c>
    </row>
    <row r="180" spans="1:67" x14ac:dyDescent="0.25">
      <c r="A180" s="7">
        <v>175</v>
      </c>
      <c r="B180" s="93">
        <v>46</v>
      </c>
      <c r="C180" s="93">
        <v>30</v>
      </c>
      <c r="D180" s="93">
        <v>4</v>
      </c>
      <c r="E180" s="93">
        <v>8</v>
      </c>
      <c r="F180" s="93">
        <v>25</v>
      </c>
      <c r="G180" s="93">
        <v>40</v>
      </c>
      <c r="H180" s="93" t="s">
        <v>87</v>
      </c>
      <c r="I180" s="93">
        <v>5.5</v>
      </c>
      <c r="J180" s="93" t="s">
        <v>7</v>
      </c>
      <c r="K180" s="93" t="s">
        <v>87</v>
      </c>
      <c r="L180" s="93" t="s">
        <v>87</v>
      </c>
      <c r="M180" s="93">
        <v>4</v>
      </c>
      <c r="N180" s="38" t="s">
        <v>7</v>
      </c>
      <c r="O180" s="38">
        <v>38.700000000000003</v>
      </c>
      <c r="P180" s="38">
        <v>3</v>
      </c>
      <c r="Q180" s="38">
        <v>32</v>
      </c>
      <c r="R180" s="38" t="s">
        <v>130</v>
      </c>
      <c r="S180" s="38" t="s">
        <v>171</v>
      </c>
      <c r="T180" s="38">
        <v>45</v>
      </c>
      <c r="U180" s="38">
        <v>90</v>
      </c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>
        <v>17.5</v>
      </c>
      <c r="AK180" s="38" t="s">
        <v>87</v>
      </c>
      <c r="AL180" s="38" t="s">
        <v>130</v>
      </c>
      <c r="AM180" s="38" t="s">
        <v>176</v>
      </c>
      <c r="AN180" s="38">
        <v>45</v>
      </c>
      <c r="AO180" s="38">
        <v>90</v>
      </c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>
        <f>IF(AND(PCdb[[#This Row],[BCD]]&gt;UIoptions!$S$10,PCdb[[#This Row],[BCD]]&lt;UIoptions!$T$10),1,0)</f>
        <v>0</v>
      </c>
      <c r="BC180" s="38">
        <f>IF(AND(PCdb[[#This Row],[PD]]&gt;UIoptions!$S$11,PCdb[[#This Row],[PD]]&lt;UIoptions!$T$11),1,0)</f>
        <v>0</v>
      </c>
      <c r="BD180" s="38">
        <f>IF(AND(UIoptions!$P$14&lt;=PCdb[[#This Row],[PL (MAX)]],UIoptions!$P$14&gt;UIoptions!$S$14),1,0)</f>
        <v>1</v>
      </c>
      <c r="BE180" s="38">
        <f>IF(AND(PCdb[[#This Row],[SD]]&gt;UIoptions!$S$12,PCdb[[#This Row],[SD]]&lt;UIoptions!$T$12),1,0)</f>
        <v>0</v>
      </c>
      <c r="BF180" s="38">
        <f>IF(AND(PCdb[[#This Row],[SL]]&gt;UIoptions!$S$13,PCdb[[#This Row],[SL]]&lt;UIoptions!$T$13),1,0)</f>
        <v>0</v>
      </c>
      <c r="BG180" s="38">
        <f>IF(UIoptions!$N$35=1,IF(AND(PCdb[[#This Row],[SQ_SZ]]&gt;UIoptions!$S$15,PCdb[[#This Row],[SQ_SZ]]&lt;UIoptions!$T$15),1,0),1)</f>
        <v>0</v>
      </c>
      <c r="BH180" s="38">
        <f>IF(UIoptions!$N$35=2,IF(AND(PCdb[[#This Row],[ROUND_D]]&gt;UIoptions!$S$15,PCdb[[#This Row],[ROUND_D]]&lt;UIoptions!$T$15),1,0),1)</f>
        <v>1</v>
      </c>
      <c r="BI180" s="38">
        <f>IF(UIoptions!$N$75&lt;&gt;1,1,IF(AND(PCdb[[#This Row],[FL]]&gt;UIoptions!$S$16,PCdb[[#This Row],[FL]]&lt;UIoptions!$T$16),1,0))</f>
        <v>0</v>
      </c>
      <c r="BJ180" s="38" t="e">
        <f>IF(OR(UIoptions!$Q$18=PCdb[[#This Row],[THRU_SCREW]],UIoptions!$Q$18="NA"),1,0)</f>
        <v>#N/A</v>
      </c>
      <c r="BK180" s="38">
        <f>IF(OR(UIoptions!$P$19=PCdb[[#This Row],[THREAD_SZ]],UIoptions!$P$19="NA"),1,0)</f>
        <v>1</v>
      </c>
      <c r="BL180" s="38">
        <f>IF(UIoptions!$N$75=1,1,IF(AND(PCdb[[#This Row],[THREAD_L]]&gt;UIoptions!$S$17,PCdb[[#This Row],[THREAD_L]]&lt;UIoptions!$T$17),1,0))</f>
        <v>1</v>
      </c>
      <c r="BM180" s="38" t="e">
        <f>IF(SUM(PCdb[[#This Row],[BDhit]:[THREAD_Lhit]])=11,1,0)</f>
        <v>#N/A</v>
      </c>
      <c r="BN18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4630482540NA5.5M4NANA4</v>
      </c>
      <c r="BO180" s="38" t="e">
        <f>SUM(PCdb[[#This Row],[BDhit]:[THREAD_Lhit]])</f>
        <v>#N/A</v>
      </c>
    </row>
    <row r="181" spans="1:67" x14ac:dyDescent="0.25">
      <c r="A181" s="7">
        <v>176</v>
      </c>
      <c r="B181" s="93">
        <v>46</v>
      </c>
      <c r="C181" s="93">
        <v>30</v>
      </c>
      <c r="D181" s="93">
        <v>4</v>
      </c>
      <c r="E181" s="93">
        <v>8</v>
      </c>
      <c r="F181" s="93">
        <v>25</v>
      </c>
      <c r="G181" s="93">
        <v>40</v>
      </c>
      <c r="H181" s="93" t="s">
        <v>87</v>
      </c>
      <c r="I181" s="93">
        <v>5</v>
      </c>
      <c r="J181" s="93" t="s">
        <v>105</v>
      </c>
      <c r="K181" s="93" t="s">
        <v>87</v>
      </c>
      <c r="L181" s="93" t="s">
        <v>87</v>
      </c>
      <c r="M181" s="93">
        <v>4</v>
      </c>
      <c r="N181" s="38" t="s">
        <v>105</v>
      </c>
      <c r="O181" s="38">
        <v>38.700000000000003</v>
      </c>
      <c r="P181" s="38">
        <v>3</v>
      </c>
      <c r="Q181" s="38">
        <v>32</v>
      </c>
      <c r="R181" s="38" t="s">
        <v>130</v>
      </c>
      <c r="S181" s="38" t="s">
        <v>171</v>
      </c>
      <c r="T181" s="38">
        <v>45</v>
      </c>
      <c r="U181" s="38">
        <v>90</v>
      </c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>
        <v>17.5</v>
      </c>
      <c r="AK181" s="38" t="s">
        <v>87</v>
      </c>
      <c r="AL181" s="38" t="s">
        <v>130</v>
      </c>
      <c r="AM181" s="38" t="s">
        <v>176</v>
      </c>
      <c r="AN181" s="38">
        <v>45</v>
      </c>
      <c r="AO181" s="38">
        <v>90</v>
      </c>
      <c r="AP181" s="38">
        <v>17.5</v>
      </c>
      <c r="AQ181" s="38">
        <v>0</v>
      </c>
      <c r="AR181" s="38" t="s">
        <v>130</v>
      </c>
      <c r="AS181" s="38" t="s">
        <v>176</v>
      </c>
      <c r="AT181" s="38">
        <v>45</v>
      </c>
      <c r="AU181" s="38">
        <v>90</v>
      </c>
      <c r="AV181" s="38"/>
      <c r="AW181" s="38"/>
      <c r="AX181" s="38"/>
      <c r="AY181" s="38"/>
      <c r="AZ181" s="38"/>
      <c r="BA181" s="38"/>
      <c r="BB181" s="38">
        <f>IF(AND(PCdb[[#This Row],[BCD]]&gt;UIoptions!$S$10,PCdb[[#This Row],[BCD]]&lt;UIoptions!$T$10),1,0)</f>
        <v>0</v>
      </c>
      <c r="BC181" s="38">
        <f>IF(AND(PCdb[[#This Row],[PD]]&gt;UIoptions!$S$11,PCdb[[#This Row],[PD]]&lt;UIoptions!$T$11),1,0)</f>
        <v>0</v>
      </c>
      <c r="BD181" s="38">
        <f>IF(AND(UIoptions!$P$14&lt;=PCdb[[#This Row],[PL (MAX)]],UIoptions!$P$14&gt;UIoptions!$S$14),1,0)</f>
        <v>1</v>
      </c>
      <c r="BE181" s="38">
        <f>IF(AND(PCdb[[#This Row],[SD]]&gt;UIoptions!$S$12,PCdb[[#This Row],[SD]]&lt;UIoptions!$T$12),1,0)</f>
        <v>0</v>
      </c>
      <c r="BF181" s="38">
        <f>IF(AND(PCdb[[#This Row],[SL]]&gt;UIoptions!$S$13,PCdb[[#This Row],[SL]]&lt;UIoptions!$T$13),1,0)</f>
        <v>0</v>
      </c>
      <c r="BG181" s="38">
        <f>IF(UIoptions!$N$35=1,IF(AND(PCdb[[#This Row],[SQ_SZ]]&gt;UIoptions!$S$15,PCdb[[#This Row],[SQ_SZ]]&lt;UIoptions!$T$15),1,0),1)</f>
        <v>0</v>
      </c>
      <c r="BH181" s="38">
        <f>IF(UIoptions!$N$35=2,IF(AND(PCdb[[#This Row],[ROUND_D]]&gt;UIoptions!$S$15,PCdb[[#This Row],[ROUND_D]]&lt;UIoptions!$T$15),1,0),1)</f>
        <v>1</v>
      </c>
      <c r="BI181" s="38">
        <f>IF(UIoptions!$N$75&lt;&gt;1,1,IF(AND(PCdb[[#This Row],[FL]]&gt;UIoptions!$S$16,PCdb[[#This Row],[FL]]&lt;UIoptions!$T$16),1,0))</f>
        <v>0</v>
      </c>
      <c r="BJ181" s="38" t="e">
        <f>IF(OR(UIoptions!$Q$18=PCdb[[#This Row],[THRU_SCREW]],UIoptions!$Q$18="NA"),1,0)</f>
        <v>#N/A</v>
      </c>
      <c r="BK181" s="38">
        <f>IF(OR(UIoptions!$P$19=PCdb[[#This Row],[THREAD_SZ]],UIoptions!$P$19="NA"),1,0)</f>
        <v>1</v>
      </c>
      <c r="BL181" s="38">
        <f>IF(UIoptions!$N$75=1,1,IF(AND(PCdb[[#This Row],[THREAD_L]]&gt;UIoptions!$S$17,PCdb[[#This Row],[THREAD_L]]&lt;UIoptions!$T$17),1,0))</f>
        <v>1</v>
      </c>
      <c r="BM181" s="38" t="e">
        <f>IF(SUM(PCdb[[#This Row],[BDhit]:[THREAD_Lhit]])=11,1,0)</f>
        <v>#N/A</v>
      </c>
      <c r="BN18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4630482540NA5M3NANA4</v>
      </c>
      <c r="BO181" s="38" t="e">
        <f>SUM(PCdb[[#This Row],[BDhit]:[THREAD_Lhit]])</f>
        <v>#N/A</v>
      </c>
    </row>
    <row r="182" spans="1:67" x14ac:dyDescent="0.25">
      <c r="A182" s="7">
        <v>177</v>
      </c>
      <c r="B182" s="93">
        <v>90</v>
      </c>
      <c r="C182" s="93">
        <v>70</v>
      </c>
      <c r="D182" s="93">
        <v>4</v>
      </c>
      <c r="E182" s="93">
        <v>19</v>
      </c>
      <c r="F182" s="93">
        <v>35</v>
      </c>
      <c r="G182" s="93">
        <v>80</v>
      </c>
      <c r="H182" s="93" t="s">
        <v>87</v>
      </c>
      <c r="I182" s="93">
        <v>9</v>
      </c>
      <c r="J182" s="93" t="s">
        <v>49</v>
      </c>
      <c r="K182" s="93" t="s">
        <v>87</v>
      </c>
      <c r="L182" s="93" t="s">
        <v>87</v>
      </c>
      <c r="M182" s="93">
        <v>4</v>
      </c>
      <c r="N182" s="38" t="s">
        <v>49</v>
      </c>
      <c r="O182" s="38" t="s">
        <v>87</v>
      </c>
      <c r="P182" s="38" t="s">
        <v>87</v>
      </c>
      <c r="Q182" s="38" t="s">
        <v>87</v>
      </c>
      <c r="R182" s="38" t="s">
        <v>87</v>
      </c>
      <c r="S182" s="38" t="s">
        <v>87</v>
      </c>
      <c r="T182" s="38" t="s">
        <v>87</v>
      </c>
      <c r="U182" s="38" t="s">
        <v>87</v>
      </c>
      <c r="V182" s="38">
        <v>45.2</v>
      </c>
      <c r="W182" s="38">
        <v>37</v>
      </c>
      <c r="X182" s="38" t="s">
        <v>87</v>
      </c>
      <c r="Y182" s="38" t="s">
        <v>130</v>
      </c>
      <c r="Z182" s="38" t="s">
        <v>172</v>
      </c>
      <c r="AA182" s="38">
        <v>45</v>
      </c>
      <c r="AB182" s="38">
        <v>90</v>
      </c>
      <c r="AC182" s="38"/>
      <c r="AD182" s="38"/>
      <c r="AE182" s="38"/>
      <c r="AF182" s="38"/>
      <c r="AG182" s="38"/>
      <c r="AH182" s="38"/>
      <c r="AI182" s="38"/>
      <c r="AJ182" s="38" t="s">
        <v>87</v>
      </c>
      <c r="AK182" s="38" t="s">
        <v>87</v>
      </c>
      <c r="AL182" s="38" t="s">
        <v>87</v>
      </c>
      <c r="AM182" s="38" t="s">
        <v>87</v>
      </c>
      <c r="AN182" s="38" t="s">
        <v>87</v>
      </c>
      <c r="AO182" s="38" t="s">
        <v>87</v>
      </c>
      <c r="AP182" s="38" t="s">
        <v>87</v>
      </c>
      <c r="AQ182" s="38" t="s">
        <v>87</v>
      </c>
      <c r="AR182" s="38" t="s">
        <v>87</v>
      </c>
      <c r="AS182" s="38" t="s">
        <v>87</v>
      </c>
      <c r="AT182" s="38" t="s">
        <v>87</v>
      </c>
      <c r="AU182" s="38" t="s">
        <v>87</v>
      </c>
      <c r="AV182" s="38"/>
      <c r="AW182" s="38"/>
      <c r="AX182" s="38"/>
      <c r="AY182" s="38"/>
      <c r="AZ182" s="38"/>
      <c r="BA182" s="38"/>
      <c r="BB182" s="38">
        <f>IF(AND(PCdb[[#This Row],[BCD]]&gt;UIoptions!$S$10,PCdb[[#This Row],[BCD]]&lt;UIoptions!$T$10),1,0)</f>
        <v>0</v>
      </c>
      <c r="BC182" s="38">
        <f>IF(AND(PCdb[[#This Row],[PD]]&gt;UIoptions!$S$11,PCdb[[#This Row],[PD]]&lt;UIoptions!$T$11),1,0)</f>
        <v>0</v>
      </c>
      <c r="BD182" s="38">
        <f>IF(AND(UIoptions!$P$14&lt;=PCdb[[#This Row],[PL (MAX)]],UIoptions!$P$14&gt;UIoptions!$S$14),1,0)</f>
        <v>1</v>
      </c>
      <c r="BE182" s="38">
        <f>IF(AND(PCdb[[#This Row],[SD]]&gt;UIoptions!$S$12,PCdb[[#This Row],[SD]]&lt;UIoptions!$T$12),1,0)</f>
        <v>0</v>
      </c>
      <c r="BF182" s="38">
        <f>IF(AND(PCdb[[#This Row],[SL]]&gt;UIoptions!$S$13,PCdb[[#This Row],[SL]]&lt;UIoptions!$T$13),1,0)</f>
        <v>0</v>
      </c>
      <c r="BG182" s="38">
        <f>IF(UIoptions!$N$35=1,IF(AND(PCdb[[#This Row],[SQ_SZ]]&gt;UIoptions!$S$15,PCdb[[#This Row],[SQ_SZ]]&lt;UIoptions!$T$15),1,0),1)</f>
        <v>0</v>
      </c>
      <c r="BH182" s="38">
        <f>IF(UIoptions!$N$35=2,IF(AND(PCdb[[#This Row],[ROUND_D]]&gt;UIoptions!$S$15,PCdb[[#This Row],[ROUND_D]]&lt;UIoptions!$T$15),1,0),1)</f>
        <v>1</v>
      </c>
      <c r="BI182" s="38">
        <f>IF(UIoptions!$N$75&lt;&gt;1,1,IF(AND(PCdb[[#This Row],[FL]]&gt;UIoptions!$S$16,PCdb[[#This Row],[FL]]&lt;UIoptions!$T$16),1,0))</f>
        <v>0</v>
      </c>
      <c r="BJ182" s="38" t="e">
        <f>IF(OR(UIoptions!$Q$18=PCdb[[#This Row],[THRU_SCREW]],UIoptions!$Q$18="NA"),1,0)</f>
        <v>#N/A</v>
      </c>
      <c r="BK182" s="38">
        <f>IF(OR(UIoptions!$P$19=PCdb[[#This Row],[THREAD_SZ]],UIoptions!$P$19="NA"),1,0)</f>
        <v>1</v>
      </c>
      <c r="BL182" s="38">
        <f>IF(UIoptions!$N$75=1,1,IF(AND(PCdb[[#This Row],[THREAD_L]]&gt;UIoptions!$S$17,PCdb[[#This Row],[THREAD_L]]&lt;UIoptions!$T$17),1,0))</f>
        <v>1</v>
      </c>
      <c r="BM182" s="38" t="e">
        <f>IF(SUM(PCdb[[#This Row],[BDhit]:[THREAD_Lhit]])=11,1,0)</f>
        <v>#N/A</v>
      </c>
      <c r="BN18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90704193580NA9M6NANA4</v>
      </c>
      <c r="BO182" s="38" t="e">
        <f>SUM(PCdb[[#This Row],[BDhit]:[THREAD_Lhit]])</f>
        <v>#N/A</v>
      </c>
    </row>
    <row r="183" spans="1:67" x14ac:dyDescent="0.25">
      <c r="A183" s="7">
        <v>178</v>
      </c>
      <c r="B183" s="93">
        <v>70.7</v>
      </c>
      <c r="C183" s="93">
        <v>36</v>
      </c>
      <c r="D183" s="93">
        <v>4</v>
      </c>
      <c r="E183" s="93">
        <v>10</v>
      </c>
      <c r="F183" s="93">
        <v>22</v>
      </c>
      <c r="G183" s="93">
        <v>60</v>
      </c>
      <c r="H183" s="93" t="s">
        <v>87</v>
      </c>
      <c r="I183" s="93">
        <v>7</v>
      </c>
      <c r="J183" s="93" t="s">
        <v>7</v>
      </c>
      <c r="K183" s="93" t="s">
        <v>87</v>
      </c>
      <c r="L183" s="93" t="s">
        <v>87</v>
      </c>
      <c r="M183" s="93">
        <v>4</v>
      </c>
      <c r="N183" s="38" t="s">
        <v>7</v>
      </c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>
        <v>20</v>
      </c>
      <c r="AK183" s="38" t="s">
        <v>87</v>
      </c>
      <c r="AL183" s="38" t="s">
        <v>130</v>
      </c>
      <c r="AM183" s="38" t="s">
        <v>177</v>
      </c>
      <c r="AN183" s="38">
        <v>45</v>
      </c>
      <c r="AO183" s="38">
        <v>90</v>
      </c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>
        <f>IF(AND(PCdb[[#This Row],[BCD]]&gt;UIoptions!$S$10,PCdb[[#This Row],[BCD]]&lt;UIoptions!$T$10),1,0)</f>
        <v>0</v>
      </c>
      <c r="BC183" s="38">
        <f>IF(AND(PCdb[[#This Row],[PD]]&gt;UIoptions!$S$11,PCdb[[#This Row],[PD]]&lt;UIoptions!$T$11),1,0)</f>
        <v>0</v>
      </c>
      <c r="BD183" s="38">
        <f>IF(AND(UIoptions!$P$14&lt;=PCdb[[#This Row],[PL (MAX)]],UIoptions!$P$14&gt;UIoptions!$S$14),1,0)</f>
        <v>1</v>
      </c>
      <c r="BE183" s="38">
        <f>IF(AND(PCdb[[#This Row],[SD]]&gt;UIoptions!$S$12,PCdb[[#This Row],[SD]]&lt;UIoptions!$T$12),1,0)</f>
        <v>0</v>
      </c>
      <c r="BF183" s="38">
        <f>IF(AND(PCdb[[#This Row],[SL]]&gt;UIoptions!$S$13,PCdb[[#This Row],[SL]]&lt;UIoptions!$T$13),1,0)</f>
        <v>0</v>
      </c>
      <c r="BG183" s="38">
        <f>IF(UIoptions!$N$35=1,IF(AND(PCdb[[#This Row],[SQ_SZ]]&gt;UIoptions!$S$15,PCdb[[#This Row],[SQ_SZ]]&lt;UIoptions!$T$15),1,0),1)</f>
        <v>0</v>
      </c>
      <c r="BH183" s="38">
        <f>IF(UIoptions!$N$35=2,IF(AND(PCdb[[#This Row],[ROUND_D]]&gt;UIoptions!$S$15,PCdb[[#This Row],[ROUND_D]]&lt;UIoptions!$T$15),1,0),1)</f>
        <v>1</v>
      </c>
      <c r="BI183" s="38">
        <f>IF(UIoptions!$N$75&lt;&gt;1,1,IF(AND(PCdb[[#This Row],[FL]]&gt;UIoptions!$S$16,PCdb[[#This Row],[FL]]&lt;UIoptions!$T$16),1,0))</f>
        <v>0</v>
      </c>
      <c r="BJ183" s="38" t="e">
        <f>IF(OR(UIoptions!$Q$18=PCdb[[#This Row],[THRU_SCREW]],UIoptions!$Q$18="NA"),1,0)</f>
        <v>#N/A</v>
      </c>
      <c r="BK183" s="38">
        <f>IF(OR(UIoptions!$P$19=PCdb[[#This Row],[THREAD_SZ]],UIoptions!$P$19="NA"),1,0)</f>
        <v>1</v>
      </c>
      <c r="BL183" s="38">
        <f>IF(UIoptions!$N$75=1,1,IF(AND(PCdb[[#This Row],[THREAD_L]]&gt;UIoptions!$S$17,PCdb[[#This Row],[THREAD_L]]&lt;UIoptions!$T$17),1,0))</f>
        <v>1</v>
      </c>
      <c r="BM183" s="38" t="e">
        <f>IF(SUM(PCdb[[#This Row],[BDhit]:[THREAD_Lhit]])=11,1,0)</f>
        <v>#N/A</v>
      </c>
      <c r="BN18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70.7364102260NA7M4NANA4</v>
      </c>
      <c r="BO183" s="38" t="e">
        <f>SUM(PCdb[[#This Row],[BDhit]:[THREAD_Lhit]])</f>
        <v>#N/A</v>
      </c>
    </row>
    <row r="184" spans="1:67" x14ac:dyDescent="0.25">
      <c r="A184" s="7">
        <v>179</v>
      </c>
      <c r="B184" s="93">
        <v>66.7</v>
      </c>
      <c r="C184" s="93">
        <v>38.1</v>
      </c>
      <c r="D184" s="93">
        <v>4</v>
      </c>
      <c r="E184" s="93">
        <v>12.7</v>
      </c>
      <c r="F184" s="93">
        <v>31.8</v>
      </c>
      <c r="G184" s="93">
        <v>57.2</v>
      </c>
      <c r="H184" s="93" t="s">
        <v>87</v>
      </c>
      <c r="I184" s="93">
        <v>6.4</v>
      </c>
      <c r="J184" s="93" t="s">
        <v>7</v>
      </c>
      <c r="K184" s="93" t="s">
        <v>87</v>
      </c>
      <c r="L184" s="93" t="s">
        <v>87</v>
      </c>
      <c r="M184" s="93">
        <v>4</v>
      </c>
      <c r="N184" s="38" t="s">
        <v>7</v>
      </c>
      <c r="O184" s="38" t="s">
        <v>87</v>
      </c>
      <c r="P184" s="38" t="s">
        <v>87</v>
      </c>
      <c r="Q184" s="38" t="s">
        <v>87</v>
      </c>
      <c r="R184" s="38" t="s">
        <v>87</v>
      </c>
      <c r="S184" s="38" t="s">
        <v>87</v>
      </c>
      <c r="T184" s="38" t="s">
        <v>87</v>
      </c>
      <c r="U184" s="38" t="s">
        <v>87</v>
      </c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 t="s">
        <v>87</v>
      </c>
      <c r="AK184" s="38" t="s">
        <v>87</v>
      </c>
      <c r="AL184" s="38" t="s">
        <v>87</v>
      </c>
      <c r="AM184" s="38" t="s">
        <v>87</v>
      </c>
      <c r="AN184" s="38" t="s">
        <v>87</v>
      </c>
      <c r="AO184" s="38" t="s">
        <v>87</v>
      </c>
      <c r="AP184" s="38"/>
      <c r="AQ184" s="38"/>
      <c r="AR184" s="38"/>
      <c r="AS184" s="38"/>
      <c r="AT184" s="38"/>
      <c r="AU184" s="38"/>
      <c r="AV184" s="38">
        <v>22</v>
      </c>
      <c r="AW184" s="38" t="s">
        <v>87</v>
      </c>
      <c r="AX184" s="38" t="s">
        <v>130</v>
      </c>
      <c r="AY184" s="38" t="s">
        <v>176</v>
      </c>
      <c r="AZ184" s="38">
        <v>45</v>
      </c>
      <c r="BA184" s="38">
        <v>90</v>
      </c>
      <c r="BB184" s="38">
        <f>IF(AND(PCdb[[#This Row],[BCD]]&gt;UIoptions!$S$10,PCdb[[#This Row],[BCD]]&lt;UIoptions!$T$10),1,0)</f>
        <v>0</v>
      </c>
      <c r="BC184" s="38">
        <f>IF(AND(PCdb[[#This Row],[PD]]&gt;UIoptions!$S$11,PCdb[[#This Row],[PD]]&lt;UIoptions!$T$11),1,0)</f>
        <v>0</v>
      </c>
      <c r="BD184" s="38">
        <f>IF(AND(UIoptions!$P$14&lt;=PCdb[[#This Row],[PL (MAX)]],UIoptions!$P$14&gt;UIoptions!$S$14),1,0)</f>
        <v>1</v>
      </c>
      <c r="BE184" s="38">
        <f>IF(AND(PCdb[[#This Row],[SD]]&gt;UIoptions!$S$12,PCdb[[#This Row],[SD]]&lt;UIoptions!$T$12),1,0)</f>
        <v>0</v>
      </c>
      <c r="BF184" s="38">
        <f>IF(AND(PCdb[[#This Row],[SL]]&gt;UIoptions!$S$13,PCdb[[#This Row],[SL]]&lt;UIoptions!$T$13),1,0)</f>
        <v>0</v>
      </c>
      <c r="BG184" s="38">
        <f>IF(UIoptions!$N$35=1,IF(AND(PCdb[[#This Row],[SQ_SZ]]&gt;UIoptions!$S$15,PCdb[[#This Row],[SQ_SZ]]&lt;UIoptions!$T$15),1,0),1)</f>
        <v>0</v>
      </c>
      <c r="BH184" s="38">
        <f>IF(UIoptions!$N$35=2,IF(AND(PCdb[[#This Row],[ROUND_D]]&gt;UIoptions!$S$15,PCdb[[#This Row],[ROUND_D]]&lt;UIoptions!$T$15),1,0),1)</f>
        <v>1</v>
      </c>
      <c r="BI184" s="38">
        <f>IF(UIoptions!$N$75&lt;&gt;1,1,IF(AND(PCdb[[#This Row],[FL]]&gt;UIoptions!$S$16,PCdb[[#This Row],[FL]]&lt;UIoptions!$T$16),1,0))</f>
        <v>0</v>
      </c>
      <c r="BJ184" s="38" t="e">
        <f>IF(OR(UIoptions!$Q$18=PCdb[[#This Row],[THRU_SCREW]],UIoptions!$Q$18="NA"),1,0)</f>
        <v>#N/A</v>
      </c>
      <c r="BK184" s="38">
        <f>IF(OR(UIoptions!$P$19=PCdb[[#This Row],[THREAD_SZ]],UIoptions!$P$19="NA"),1,0)</f>
        <v>1</v>
      </c>
      <c r="BL184" s="38">
        <f>IF(UIoptions!$N$75=1,1,IF(AND(PCdb[[#This Row],[THREAD_L]]&gt;UIoptions!$S$17,PCdb[[#This Row],[THREAD_L]]&lt;UIoptions!$T$17),1,0))</f>
        <v>1</v>
      </c>
      <c r="BM184" s="38" t="e">
        <f>IF(SUM(PCdb[[#This Row],[BDhit]:[THREAD_Lhit]])=11,1,0)</f>
        <v>#N/A</v>
      </c>
      <c r="BN18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66.738.1412.731.857.2NA6.4M4NANA4</v>
      </c>
      <c r="BO184" s="38" t="e">
        <f>SUM(PCdb[[#This Row],[BDhit]:[THREAD_Lhit]])</f>
        <v>#N/A</v>
      </c>
    </row>
    <row r="185" spans="1:67" x14ac:dyDescent="0.25">
      <c r="A185" s="7">
        <v>180</v>
      </c>
      <c r="B185" s="93">
        <v>35</v>
      </c>
      <c r="C185" s="93">
        <v>25</v>
      </c>
      <c r="D185" s="93">
        <v>4</v>
      </c>
      <c r="E185" s="93">
        <v>8</v>
      </c>
      <c r="F185" s="93">
        <v>22</v>
      </c>
      <c r="G185" s="93" t="s">
        <v>87</v>
      </c>
      <c r="H185" s="93">
        <v>42</v>
      </c>
      <c r="I185" s="93" t="s">
        <v>87</v>
      </c>
      <c r="J185" s="93" t="s">
        <v>87</v>
      </c>
      <c r="K185" s="93" t="s">
        <v>7</v>
      </c>
      <c r="L185" s="93">
        <v>6</v>
      </c>
      <c r="M185" s="93">
        <v>4</v>
      </c>
      <c r="N185" s="38">
        <v>5</v>
      </c>
      <c r="O185" s="38">
        <v>36.200000000000003</v>
      </c>
      <c r="P185" s="38" t="s">
        <v>87</v>
      </c>
      <c r="Q185" s="38" t="s">
        <v>87</v>
      </c>
      <c r="R185" s="38" t="s">
        <v>628</v>
      </c>
      <c r="S185" s="38" t="s">
        <v>279</v>
      </c>
      <c r="T185" s="38">
        <v>45</v>
      </c>
      <c r="U185" s="38">
        <v>90</v>
      </c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>
        <f>IF(AND(PCdb[[#This Row],[BCD]]&gt;UIoptions!$S$10,PCdb[[#This Row],[BCD]]&lt;UIoptions!$T$10),1,0)</f>
        <v>0</v>
      </c>
      <c r="BC185" s="38">
        <f>IF(AND(PCdb[[#This Row],[PD]]&gt;UIoptions!$S$11,PCdb[[#This Row],[PD]]&lt;UIoptions!$T$11),1,0)</f>
        <v>0</v>
      </c>
      <c r="BD185" s="38">
        <f>IF(AND(UIoptions!$P$14&lt;=PCdb[[#This Row],[PL (MAX)]],UIoptions!$P$14&gt;UIoptions!$S$14),1,0)</f>
        <v>1</v>
      </c>
      <c r="BE185" s="38">
        <f>IF(AND(PCdb[[#This Row],[SD]]&gt;UIoptions!$S$12,PCdb[[#This Row],[SD]]&lt;UIoptions!$T$12),1,0)</f>
        <v>0</v>
      </c>
      <c r="BF185" s="38">
        <f>IF(AND(PCdb[[#This Row],[SL]]&gt;UIoptions!$S$13,PCdb[[#This Row],[SL]]&lt;UIoptions!$T$13),1,0)</f>
        <v>0</v>
      </c>
      <c r="BG185" s="38">
        <f>IF(UIoptions!$N$35=1,IF(AND(PCdb[[#This Row],[SQ_SZ]]&gt;UIoptions!$S$15,PCdb[[#This Row],[SQ_SZ]]&lt;UIoptions!$T$15),1,0),1)</f>
        <v>0</v>
      </c>
      <c r="BH185" s="38">
        <f>IF(UIoptions!$N$35=2,IF(AND(PCdb[[#This Row],[ROUND_D]]&gt;UIoptions!$S$15,PCdb[[#This Row],[ROUND_D]]&lt;UIoptions!$T$15),1,0),1)</f>
        <v>1</v>
      </c>
      <c r="BI185" s="38">
        <f>IF(UIoptions!$N$75&lt;&gt;1,1,IF(AND(PCdb[[#This Row],[FL]]&gt;UIoptions!$S$16,PCdb[[#This Row],[FL]]&lt;UIoptions!$T$16),1,0))</f>
        <v>0</v>
      </c>
      <c r="BJ185" s="38" t="e">
        <f>IF(OR(UIoptions!$Q$18=PCdb[[#This Row],[THRU_SCREW]],UIoptions!$Q$18="NA"),1,0)</f>
        <v>#N/A</v>
      </c>
      <c r="BK185" s="38">
        <f>IF(OR(UIoptions!$P$19=PCdb[[#This Row],[THREAD_SZ]],UIoptions!$P$19="NA"),1,0)</f>
        <v>1</v>
      </c>
      <c r="BL185" s="38">
        <f>IF(UIoptions!$N$75=1,1,IF(AND(PCdb[[#This Row],[THREAD_L]]&gt;UIoptions!$S$17,PCdb[[#This Row],[THREAD_L]]&lt;UIoptions!$T$17),1,0))</f>
        <v>1</v>
      </c>
      <c r="BM185" s="38" t="e">
        <f>IF(SUM(PCdb[[#This Row],[BDhit]:[THREAD_Lhit]])=11,1,0)</f>
        <v>#N/A</v>
      </c>
      <c r="BN18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35254822NA42NANAM464</v>
      </c>
      <c r="BO185" s="38" t="e">
        <f>SUM(PCdb[[#This Row],[BDhit]:[THREAD_Lhit]])</f>
        <v>#N/A</v>
      </c>
    </row>
    <row r="186" spans="1:67" x14ac:dyDescent="0.25">
      <c r="A186" s="7">
        <v>181</v>
      </c>
      <c r="B186" s="93">
        <v>70</v>
      </c>
      <c r="C186" s="93">
        <v>50</v>
      </c>
      <c r="D186" s="93">
        <v>4</v>
      </c>
      <c r="E186" s="93">
        <v>14</v>
      </c>
      <c r="F186" s="93">
        <v>35</v>
      </c>
      <c r="G186" s="93">
        <v>65</v>
      </c>
      <c r="H186" s="93" t="s">
        <v>87</v>
      </c>
      <c r="I186" s="93">
        <v>8</v>
      </c>
      <c r="J186" s="93" t="s">
        <v>45</v>
      </c>
      <c r="K186" s="93" t="s">
        <v>87</v>
      </c>
      <c r="L186" s="93" t="s">
        <v>87</v>
      </c>
      <c r="M186" s="93">
        <v>4</v>
      </c>
      <c r="N186" s="38" t="s">
        <v>45</v>
      </c>
      <c r="O186" s="38" t="s">
        <v>87</v>
      </c>
      <c r="P186" s="38" t="s">
        <v>87</v>
      </c>
      <c r="Q186" s="38" t="s">
        <v>87</v>
      </c>
      <c r="R186" s="38" t="s">
        <v>87</v>
      </c>
      <c r="S186" s="38" t="s">
        <v>87</v>
      </c>
      <c r="T186" s="38" t="s">
        <v>87</v>
      </c>
      <c r="U186" s="38" t="s">
        <v>87</v>
      </c>
      <c r="V186" s="38">
        <v>45.2</v>
      </c>
      <c r="W186" s="38">
        <v>27</v>
      </c>
      <c r="X186" s="38" t="s">
        <v>87</v>
      </c>
      <c r="Y186" s="38" t="s">
        <v>637</v>
      </c>
      <c r="Z186" s="38" t="s">
        <v>172</v>
      </c>
      <c r="AA186" s="38">
        <v>45</v>
      </c>
      <c r="AB186" s="38">
        <v>90</v>
      </c>
      <c r="AC186" s="38">
        <v>48.7</v>
      </c>
      <c r="AD186" s="38">
        <v>20</v>
      </c>
      <c r="AE186" s="38">
        <v>16</v>
      </c>
      <c r="AF186" s="38" t="s">
        <v>130</v>
      </c>
      <c r="AG186" s="38" t="s">
        <v>171</v>
      </c>
      <c r="AH186" s="38">
        <v>45</v>
      </c>
      <c r="AI186" s="38">
        <v>90</v>
      </c>
      <c r="AJ186" s="38" t="s">
        <v>87</v>
      </c>
      <c r="AK186" s="38" t="s">
        <v>87</v>
      </c>
      <c r="AL186" s="38" t="s">
        <v>87</v>
      </c>
      <c r="AM186" s="38" t="s">
        <v>87</v>
      </c>
      <c r="AN186" s="38" t="s">
        <v>87</v>
      </c>
      <c r="AO186" s="38" t="s">
        <v>87</v>
      </c>
      <c r="AP186" s="38" t="s">
        <v>87</v>
      </c>
      <c r="AQ186" s="38" t="s">
        <v>87</v>
      </c>
      <c r="AR186" s="38" t="s">
        <v>87</v>
      </c>
      <c r="AS186" s="38" t="s">
        <v>87</v>
      </c>
      <c r="AT186" s="38" t="s">
        <v>87</v>
      </c>
      <c r="AU186" s="38" t="s">
        <v>87</v>
      </c>
      <c r="AV186" s="38"/>
      <c r="AW186" s="38"/>
      <c r="AX186" s="38"/>
      <c r="AY186" s="38"/>
      <c r="AZ186" s="38"/>
      <c r="BA186" s="38"/>
      <c r="BB186" s="38">
        <f>IF(AND(PCdb[[#This Row],[BCD]]&gt;UIoptions!$S$10,PCdb[[#This Row],[BCD]]&lt;UIoptions!$T$10),1,0)</f>
        <v>0</v>
      </c>
      <c r="BC186" s="38">
        <f>IF(AND(PCdb[[#This Row],[PD]]&gt;UIoptions!$S$11,PCdb[[#This Row],[PD]]&lt;UIoptions!$T$11),1,0)</f>
        <v>0</v>
      </c>
      <c r="BD186" s="38">
        <f>IF(AND(UIoptions!$P$14&lt;=PCdb[[#This Row],[PL (MAX)]],UIoptions!$P$14&gt;UIoptions!$S$14),1,0)</f>
        <v>1</v>
      </c>
      <c r="BE186" s="38">
        <f>IF(AND(PCdb[[#This Row],[SD]]&gt;UIoptions!$S$12,PCdb[[#This Row],[SD]]&lt;UIoptions!$T$12),1,0)</f>
        <v>0</v>
      </c>
      <c r="BF186" s="38">
        <f>IF(AND(PCdb[[#This Row],[SL]]&gt;UIoptions!$S$13,PCdb[[#This Row],[SL]]&lt;UIoptions!$T$13),1,0)</f>
        <v>0</v>
      </c>
      <c r="BG186" s="38">
        <f>IF(UIoptions!$N$35=1,IF(AND(PCdb[[#This Row],[SQ_SZ]]&gt;UIoptions!$S$15,PCdb[[#This Row],[SQ_SZ]]&lt;UIoptions!$T$15),1,0),1)</f>
        <v>0</v>
      </c>
      <c r="BH186" s="38">
        <f>IF(UIoptions!$N$35=2,IF(AND(PCdb[[#This Row],[ROUND_D]]&gt;UIoptions!$S$15,PCdb[[#This Row],[ROUND_D]]&lt;UIoptions!$T$15),1,0),1)</f>
        <v>1</v>
      </c>
      <c r="BI186" s="38">
        <f>IF(UIoptions!$N$75&lt;&gt;1,1,IF(AND(PCdb[[#This Row],[FL]]&gt;UIoptions!$S$16,PCdb[[#This Row],[FL]]&lt;UIoptions!$T$16),1,0))</f>
        <v>0</v>
      </c>
      <c r="BJ186" s="38" t="e">
        <f>IF(OR(UIoptions!$Q$18=PCdb[[#This Row],[THRU_SCREW]],UIoptions!$Q$18="NA"),1,0)</f>
        <v>#N/A</v>
      </c>
      <c r="BK186" s="38">
        <f>IF(OR(UIoptions!$P$19=PCdb[[#This Row],[THREAD_SZ]],UIoptions!$P$19="NA"),1,0)</f>
        <v>1</v>
      </c>
      <c r="BL186" s="38">
        <f>IF(UIoptions!$N$75=1,1,IF(AND(PCdb[[#This Row],[THREAD_L]]&gt;UIoptions!$S$17,PCdb[[#This Row],[THREAD_L]]&lt;UIoptions!$T$17),1,0))</f>
        <v>1</v>
      </c>
      <c r="BM186" s="38" t="e">
        <f>IF(SUM(PCdb[[#This Row],[BDhit]:[THREAD_Lhit]])=11,1,0)</f>
        <v>#N/A</v>
      </c>
      <c r="BN18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70504143565NA8M5NANA4</v>
      </c>
      <c r="BO186" s="38" t="e">
        <f>SUM(PCdb[[#This Row],[BDhit]:[THREAD_Lhit]])</f>
        <v>#N/A</v>
      </c>
    </row>
    <row r="187" spans="1:67" x14ac:dyDescent="0.25">
      <c r="A187" s="7">
        <v>182</v>
      </c>
      <c r="B187" s="93">
        <v>66.599999999999994</v>
      </c>
      <c r="C187" s="93">
        <v>38.1</v>
      </c>
      <c r="D187" s="93">
        <v>4</v>
      </c>
      <c r="E187" s="93">
        <v>8</v>
      </c>
      <c r="F187" s="93">
        <v>20.6</v>
      </c>
      <c r="G187" s="93">
        <v>56.4</v>
      </c>
      <c r="H187" s="93" t="s">
        <v>87</v>
      </c>
      <c r="I187" s="93">
        <v>4.8</v>
      </c>
      <c r="J187" s="93" t="s">
        <v>7</v>
      </c>
      <c r="K187" s="93" t="s">
        <v>87</v>
      </c>
      <c r="L187" s="93" t="s">
        <v>87</v>
      </c>
      <c r="M187" s="93">
        <v>4</v>
      </c>
      <c r="N187" s="38" t="s">
        <v>7</v>
      </c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>
        <v>21</v>
      </c>
      <c r="AQ187" s="38" t="s">
        <v>87</v>
      </c>
      <c r="AR187" s="38" t="s">
        <v>130</v>
      </c>
      <c r="AS187" s="38" t="s">
        <v>176</v>
      </c>
      <c r="AT187" s="38">
        <v>45</v>
      </c>
      <c r="AU187" s="38">
        <v>90</v>
      </c>
      <c r="AV187" s="38"/>
      <c r="AW187" s="38"/>
      <c r="AX187" s="38"/>
      <c r="AY187" s="38"/>
      <c r="AZ187" s="38"/>
      <c r="BA187" s="38"/>
      <c r="BB187" s="38">
        <f>IF(AND(PCdb[[#This Row],[BCD]]&gt;UIoptions!$S$10,PCdb[[#This Row],[BCD]]&lt;UIoptions!$T$10),1,0)</f>
        <v>0</v>
      </c>
      <c r="BC187" s="38">
        <f>IF(AND(PCdb[[#This Row],[PD]]&gt;UIoptions!$S$11,PCdb[[#This Row],[PD]]&lt;UIoptions!$T$11),1,0)</f>
        <v>0</v>
      </c>
      <c r="BD187" s="38">
        <f>IF(AND(UIoptions!$P$14&lt;=PCdb[[#This Row],[PL (MAX)]],UIoptions!$P$14&gt;UIoptions!$S$14),1,0)</f>
        <v>1</v>
      </c>
      <c r="BE187" s="38">
        <f>IF(AND(PCdb[[#This Row],[SD]]&gt;UIoptions!$S$12,PCdb[[#This Row],[SD]]&lt;UIoptions!$T$12),1,0)</f>
        <v>0</v>
      </c>
      <c r="BF187" s="38">
        <f>IF(AND(PCdb[[#This Row],[SL]]&gt;UIoptions!$S$13,PCdb[[#This Row],[SL]]&lt;UIoptions!$T$13),1,0)</f>
        <v>0</v>
      </c>
      <c r="BG187" s="38">
        <f>IF(UIoptions!$N$35=1,IF(AND(PCdb[[#This Row],[SQ_SZ]]&gt;UIoptions!$S$15,PCdb[[#This Row],[SQ_SZ]]&lt;UIoptions!$T$15),1,0),1)</f>
        <v>0</v>
      </c>
      <c r="BH187" s="38">
        <f>IF(UIoptions!$N$35=2,IF(AND(PCdb[[#This Row],[ROUND_D]]&gt;UIoptions!$S$15,PCdb[[#This Row],[ROUND_D]]&lt;UIoptions!$T$15),1,0),1)</f>
        <v>1</v>
      </c>
      <c r="BI187" s="38">
        <f>IF(UIoptions!$N$75&lt;&gt;1,1,IF(AND(PCdb[[#This Row],[FL]]&gt;UIoptions!$S$16,PCdb[[#This Row],[FL]]&lt;UIoptions!$T$16),1,0))</f>
        <v>0</v>
      </c>
      <c r="BJ187" s="38" t="e">
        <f>IF(OR(UIoptions!$Q$18=PCdb[[#This Row],[THRU_SCREW]],UIoptions!$Q$18="NA"),1,0)</f>
        <v>#N/A</v>
      </c>
      <c r="BK187" s="38">
        <f>IF(OR(UIoptions!$P$19=PCdb[[#This Row],[THREAD_SZ]],UIoptions!$P$19="NA"),1,0)</f>
        <v>1</v>
      </c>
      <c r="BL187" s="38">
        <f>IF(UIoptions!$N$75=1,1,IF(AND(PCdb[[#This Row],[THREAD_L]]&gt;UIoptions!$S$17,PCdb[[#This Row],[THREAD_L]]&lt;UIoptions!$T$17),1,0))</f>
        <v>1</v>
      </c>
      <c r="BM187" s="38" t="e">
        <f>IF(SUM(PCdb[[#This Row],[BDhit]:[THREAD_Lhit]])=11,1,0)</f>
        <v>#N/A</v>
      </c>
      <c r="BN18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66.638.14820.656.4NA4.8M4NANA4</v>
      </c>
      <c r="BO187" s="38" t="e">
        <f>SUM(PCdb[[#This Row],[BDhit]:[THREAD_Lhit]])</f>
        <v>#N/A</v>
      </c>
    </row>
    <row r="188" spans="1:67" x14ac:dyDescent="0.25">
      <c r="A188" s="7">
        <v>183</v>
      </c>
      <c r="B188" s="93">
        <v>98.4</v>
      </c>
      <c r="C188" s="93">
        <v>73.02</v>
      </c>
      <c r="D188" s="93">
        <v>4</v>
      </c>
      <c r="E188" s="93">
        <v>12</v>
      </c>
      <c r="F188" s="93">
        <v>32</v>
      </c>
      <c r="G188" s="93">
        <v>85.9</v>
      </c>
      <c r="H188" s="93" t="s">
        <v>87</v>
      </c>
      <c r="I188" s="93">
        <v>8.4</v>
      </c>
      <c r="J188" s="93" t="s">
        <v>49</v>
      </c>
      <c r="K188" s="93" t="s">
        <v>87</v>
      </c>
      <c r="L188" s="93" t="s">
        <v>87</v>
      </c>
      <c r="M188" s="93">
        <v>4</v>
      </c>
      <c r="N188" s="38" t="s">
        <v>49</v>
      </c>
      <c r="O188" s="38"/>
      <c r="P188" s="38"/>
      <c r="Q188" s="38"/>
      <c r="R188" s="38"/>
      <c r="S188" s="38"/>
      <c r="T188" s="38"/>
      <c r="U188" s="38"/>
      <c r="V188" s="38">
        <v>41.7</v>
      </c>
      <c r="W188" s="38">
        <v>38</v>
      </c>
      <c r="X188" s="38" t="s">
        <v>87</v>
      </c>
      <c r="Y188" s="38" t="s">
        <v>130</v>
      </c>
      <c r="Z188" s="38" t="s">
        <v>172</v>
      </c>
      <c r="AA188" s="38">
        <v>45</v>
      </c>
      <c r="AB188" s="38">
        <v>90</v>
      </c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>
        <f>IF(AND(PCdb[[#This Row],[BCD]]&gt;UIoptions!$S$10,PCdb[[#This Row],[BCD]]&lt;UIoptions!$T$10),1,0)</f>
        <v>0</v>
      </c>
      <c r="BC188" s="38">
        <f>IF(AND(PCdb[[#This Row],[PD]]&gt;UIoptions!$S$11,PCdb[[#This Row],[PD]]&lt;UIoptions!$T$11),1,0)</f>
        <v>0</v>
      </c>
      <c r="BD188" s="38">
        <f>IF(AND(UIoptions!$P$14&lt;=PCdb[[#This Row],[PL (MAX)]],UIoptions!$P$14&gt;UIoptions!$S$14),1,0)</f>
        <v>1</v>
      </c>
      <c r="BE188" s="38">
        <f>IF(AND(PCdb[[#This Row],[SD]]&gt;UIoptions!$S$12,PCdb[[#This Row],[SD]]&lt;UIoptions!$T$12),1,0)</f>
        <v>0</v>
      </c>
      <c r="BF188" s="38">
        <f>IF(AND(PCdb[[#This Row],[SL]]&gt;UIoptions!$S$13,PCdb[[#This Row],[SL]]&lt;UIoptions!$T$13),1,0)</f>
        <v>0</v>
      </c>
      <c r="BG188" s="38">
        <f>IF(UIoptions!$N$35=1,IF(AND(PCdb[[#This Row],[SQ_SZ]]&gt;UIoptions!$S$15,PCdb[[#This Row],[SQ_SZ]]&lt;UIoptions!$T$15),1,0),1)</f>
        <v>0</v>
      </c>
      <c r="BH188" s="38">
        <f>IF(UIoptions!$N$35=2,IF(AND(PCdb[[#This Row],[ROUND_D]]&gt;UIoptions!$S$15,PCdb[[#This Row],[ROUND_D]]&lt;UIoptions!$T$15),1,0),1)</f>
        <v>1</v>
      </c>
      <c r="BI188" s="38">
        <f>IF(UIoptions!$N$75&lt;&gt;1,1,IF(AND(PCdb[[#This Row],[FL]]&gt;UIoptions!$S$16,PCdb[[#This Row],[FL]]&lt;UIoptions!$T$16),1,0))</f>
        <v>0</v>
      </c>
      <c r="BJ188" s="38" t="e">
        <f>IF(OR(UIoptions!$Q$18=PCdb[[#This Row],[THRU_SCREW]],UIoptions!$Q$18="NA"),1,0)</f>
        <v>#N/A</v>
      </c>
      <c r="BK188" s="38">
        <f>IF(OR(UIoptions!$P$19=PCdb[[#This Row],[THREAD_SZ]],UIoptions!$P$19="NA"),1,0)</f>
        <v>1</v>
      </c>
      <c r="BL188" s="38">
        <f>IF(UIoptions!$N$75=1,1,IF(AND(PCdb[[#This Row],[THREAD_L]]&gt;UIoptions!$S$17,PCdb[[#This Row],[THREAD_L]]&lt;UIoptions!$T$17),1,0))</f>
        <v>1</v>
      </c>
      <c r="BM188" s="38" t="e">
        <f>IF(SUM(PCdb[[#This Row],[BDhit]:[THREAD_Lhit]])=11,1,0)</f>
        <v>#N/A</v>
      </c>
      <c r="BN18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98.473.024123285.9NA8.4M6NANA4</v>
      </c>
      <c r="BO188" s="38" t="e">
        <f>SUM(PCdb[[#This Row],[BDhit]:[THREAD_Lhit]])</f>
        <v>#N/A</v>
      </c>
    </row>
    <row r="189" spans="1:67" x14ac:dyDescent="0.25">
      <c r="A189" s="7">
        <v>184</v>
      </c>
      <c r="B189" s="93">
        <v>62.5</v>
      </c>
      <c r="C189" s="93">
        <v>40</v>
      </c>
      <c r="D189" s="93">
        <v>4</v>
      </c>
      <c r="E189" s="93">
        <v>9</v>
      </c>
      <c r="F189" s="93">
        <v>19.5</v>
      </c>
      <c r="G189" s="93">
        <v>60</v>
      </c>
      <c r="H189" s="93" t="s">
        <v>87</v>
      </c>
      <c r="I189" s="93">
        <v>7.5</v>
      </c>
      <c r="J189" s="93" t="s">
        <v>45</v>
      </c>
      <c r="K189" s="93" t="s">
        <v>87</v>
      </c>
      <c r="L189" s="93" t="s">
        <v>87</v>
      </c>
      <c r="M189" s="93">
        <v>4</v>
      </c>
      <c r="N189" s="38" t="s">
        <v>45</v>
      </c>
      <c r="O189" s="38">
        <v>38.700000000000003</v>
      </c>
      <c r="P189" s="38">
        <v>25</v>
      </c>
      <c r="Q189" s="38" t="s">
        <v>87</v>
      </c>
      <c r="R189" s="38" t="s">
        <v>130</v>
      </c>
      <c r="S189" s="38" t="s">
        <v>172</v>
      </c>
      <c r="T189" s="38">
        <v>45</v>
      </c>
      <c r="U189" s="38">
        <v>90</v>
      </c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>
        <f>IF(AND(PCdb[[#This Row],[BCD]]&gt;UIoptions!$S$10,PCdb[[#This Row],[BCD]]&lt;UIoptions!$T$10),1,0)</f>
        <v>0</v>
      </c>
      <c r="BC189" s="38">
        <f>IF(AND(PCdb[[#This Row],[PD]]&gt;UIoptions!$S$11,PCdb[[#This Row],[PD]]&lt;UIoptions!$T$11),1,0)</f>
        <v>0</v>
      </c>
      <c r="BD189" s="38">
        <f>IF(AND(UIoptions!$P$14&lt;=PCdb[[#This Row],[PL (MAX)]],UIoptions!$P$14&gt;UIoptions!$S$14),1,0)</f>
        <v>1</v>
      </c>
      <c r="BE189" s="38">
        <f>IF(AND(PCdb[[#This Row],[SD]]&gt;UIoptions!$S$12,PCdb[[#This Row],[SD]]&lt;UIoptions!$T$12),1,0)</f>
        <v>0</v>
      </c>
      <c r="BF189" s="38">
        <f>IF(AND(PCdb[[#This Row],[SL]]&gt;UIoptions!$S$13,PCdb[[#This Row],[SL]]&lt;UIoptions!$T$13),1,0)</f>
        <v>0</v>
      </c>
      <c r="BG189" s="38">
        <f>IF(UIoptions!$N$35=1,IF(AND(PCdb[[#This Row],[SQ_SZ]]&gt;UIoptions!$S$15,PCdb[[#This Row],[SQ_SZ]]&lt;UIoptions!$T$15),1,0),1)</f>
        <v>0</v>
      </c>
      <c r="BH189" s="38">
        <f>IF(UIoptions!$N$35=2,IF(AND(PCdb[[#This Row],[ROUND_D]]&gt;UIoptions!$S$15,PCdb[[#This Row],[ROUND_D]]&lt;UIoptions!$T$15),1,0),1)</f>
        <v>1</v>
      </c>
      <c r="BI189" s="38">
        <f>IF(UIoptions!$N$75&lt;&gt;1,1,IF(AND(PCdb[[#This Row],[FL]]&gt;UIoptions!$S$16,PCdb[[#This Row],[FL]]&lt;UIoptions!$T$16),1,0))</f>
        <v>0</v>
      </c>
      <c r="BJ189" s="38" t="e">
        <f>IF(OR(UIoptions!$Q$18=PCdb[[#This Row],[THRU_SCREW]],UIoptions!$Q$18="NA"),1,0)</f>
        <v>#N/A</v>
      </c>
      <c r="BK189" s="38">
        <f>IF(OR(UIoptions!$P$19=PCdb[[#This Row],[THREAD_SZ]],UIoptions!$P$19="NA"),1,0)</f>
        <v>1</v>
      </c>
      <c r="BL189" s="38">
        <f>IF(UIoptions!$N$75=1,1,IF(AND(PCdb[[#This Row],[THREAD_L]]&gt;UIoptions!$S$17,PCdb[[#This Row],[THREAD_L]]&lt;UIoptions!$T$17),1,0))</f>
        <v>1</v>
      </c>
      <c r="BM189" s="38" t="e">
        <f>IF(SUM(PCdb[[#This Row],[BDhit]:[THREAD_Lhit]])=11,1,0)</f>
        <v>#N/A</v>
      </c>
      <c r="BN18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62.5404919.560NA7.5M5NANA4</v>
      </c>
      <c r="BO189" s="38" t="e">
        <f>SUM(PCdb[[#This Row],[BDhit]:[THREAD_Lhit]])</f>
        <v>#N/A</v>
      </c>
    </row>
    <row r="190" spans="1:67" x14ac:dyDescent="0.25">
      <c r="A190" s="7">
        <v>190</v>
      </c>
      <c r="B190" s="93">
        <v>43.8</v>
      </c>
      <c r="C190" s="93">
        <v>22</v>
      </c>
      <c r="D190" s="93">
        <v>4</v>
      </c>
      <c r="E190" s="93">
        <v>5</v>
      </c>
      <c r="F190" s="93">
        <v>23.9</v>
      </c>
      <c r="G190" s="93">
        <v>42.2</v>
      </c>
      <c r="H190" s="93" t="s">
        <v>87</v>
      </c>
      <c r="I190" s="93" t="s">
        <v>87</v>
      </c>
      <c r="J190" s="93" t="s">
        <v>87</v>
      </c>
      <c r="K190" s="93" t="s">
        <v>105</v>
      </c>
      <c r="L190" s="93">
        <v>12.7</v>
      </c>
      <c r="M190" s="93">
        <v>4</v>
      </c>
      <c r="N190" s="38">
        <v>4</v>
      </c>
      <c r="O190" s="38">
        <v>36.200000000000003</v>
      </c>
      <c r="P190" s="38" t="s">
        <v>87</v>
      </c>
      <c r="Q190" s="38" t="s">
        <v>87</v>
      </c>
      <c r="R190" s="38" t="s">
        <v>130</v>
      </c>
      <c r="S190" s="38" t="s">
        <v>279</v>
      </c>
      <c r="T190" s="38">
        <v>45</v>
      </c>
      <c r="U190" s="38">
        <v>90</v>
      </c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>
        <f>IF(AND(PCdb[[#This Row],[BCD]]&gt;UIoptions!$S$10,PCdb[[#This Row],[BCD]]&lt;UIoptions!$T$10),1,0)</f>
        <v>0</v>
      </c>
      <c r="BC190" s="38">
        <f>IF(AND(PCdb[[#This Row],[PD]]&gt;UIoptions!$S$11,PCdb[[#This Row],[PD]]&lt;UIoptions!$T$11),1,0)</f>
        <v>0</v>
      </c>
      <c r="BD190" s="38">
        <f>IF(AND(UIoptions!$P$14&lt;=PCdb[[#This Row],[PL (MAX)]],UIoptions!$P$14&gt;UIoptions!$S$14),1,0)</f>
        <v>1</v>
      </c>
      <c r="BE190" s="38">
        <f>IF(AND(PCdb[[#This Row],[SD]]&gt;UIoptions!$S$12,PCdb[[#This Row],[SD]]&lt;UIoptions!$T$12),1,0)</f>
        <v>0</v>
      </c>
      <c r="BF190" s="38">
        <f>IF(AND(PCdb[[#This Row],[SL]]&gt;UIoptions!$S$13,PCdb[[#This Row],[SL]]&lt;UIoptions!$T$13),1,0)</f>
        <v>0</v>
      </c>
      <c r="BG190" s="38">
        <f>IF(UIoptions!$N$35=1,IF(AND(PCdb[[#This Row],[SQ_SZ]]&gt;UIoptions!$S$15,PCdb[[#This Row],[SQ_SZ]]&lt;UIoptions!$T$15),1,0),1)</f>
        <v>0</v>
      </c>
      <c r="BH190" s="38">
        <f>IF(UIoptions!$N$35=2,IF(AND(PCdb[[#This Row],[ROUND_D]]&gt;UIoptions!$S$15,PCdb[[#This Row],[ROUND_D]]&lt;UIoptions!$T$15),1,0),1)</f>
        <v>1</v>
      </c>
      <c r="BI190" s="38">
        <f>IF(UIoptions!$N$75&lt;&gt;1,1,IF(AND(PCdb[[#This Row],[FL]]&gt;UIoptions!$S$16,PCdb[[#This Row],[FL]]&lt;UIoptions!$T$16),1,0))</f>
        <v>0</v>
      </c>
      <c r="BJ190" s="38" t="e">
        <f>IF(OR(UIoptions!$Q$18=PCdb[[#This Row],[THRU_SCREW]],UIoptions!$Q$18="NA"),1,0)</f>
        <v>#N/A</v>
      </c>
      <c r="BK190" s="38">
        <f>IF(OR(UIoptions!$P$19=PCdb[[#This Row],[THREAD_SZ]],UIoptions!$P$19="NA"),1,0)</f>
        <v>1</v>
      </c>
      <c r="BL190" s="38">
        <f>IF(UIoptions!$N$75=1,1,IF(AND(PCdb[[#This Row],[THREAD_L]]&gt;UIoptions!$S$17,PCdb[[#This Row],[THREAD_L]]&lt;UIoptions!$T$17),1,0))</f>
        <v>1</v>
      </c>
      <c r="BM190" s="38" t="e">
        <f>IF(SUM(PCdb[[#This Row],[BDhit]:[THREAD_Lhit]])=11,1,0)</f>
        <v>#N/A</v>
      </c>
      <c r="BN19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43.8224523.942.2NANANAM312.74</v>
      </c>
      <c r="BO190" s="38" t="e">
        <f>SUM(PCdb[[#This Row],[BDhit]:[THREAD_Lhit]])</f>
        <v>#N/A</v>
      </c>
    </row>
    <row r="191" spans="1:67" x14ac:dyDescent="0.25">
      <c r="A191" s="7">
        <v>191</v>
      </c>
      <c r="B191" s="93">
        <v>66.7</v>
      </c>
      <c r="C191" s="93">
        <v>38.1</v>
      </c>
      <c r="D191" s="93">
        <v>4</v>
      </c>
      <c r="E191" s="93">
        <v>6.35</v>
      </c>
      <c r="F191" s="93">
        <v>20.6</v>
      </c>
      <c r="G191" s="93">
        <v>58.7</v>
      </c>
      <c r="H191" s="93" t="s">
        <v>87</v>
      </c>
      <c r="I191" s="93">
        <v>5</v>
      </c>
      <c r="J191" s="93" t="s">
        <v>7</v>
      </c>
      <c r="K191" s="93" t="s">
        <v>87</v>
      </c>
      <c r="L191" s="93" t="s">
        <v>87</v>
      </c>
      <c r="M191" s="93">
        <v>4</v>
      </c>
      <c r="N191" s="38" t="s">
        <v>7</v>
      </c>
      <c r="O191" s="38"/>
      <c r="P191" s="38"/>
      <c r="Q191" s="38"/>
      <c r="R191" s="38"/>
      <c r="S191" s="38"/>
      <c r="T191" s="38"/>
      <c r="U191" s="38"/>
      <c r="V191" s="38">
        <v>45.2</v>
      </c>
      <c r="W191" s="38">
        <v>26</v>
      </c>
      <c r="X191" s="38">
        <v>0</v>
      </c>
      <c r="Y191" s="38" t="s">
        <v>130</v>
      </c>
      <c r="Z191" s="38" t="s">
        <v>172</v>
      </c>
      <c r="AA191" s="38">
        <v>45</v>
      </c>
      <c r="AB191" s="38">
        <v>90</v>
      </c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>
        <f>IF(AND(PCdb[[#This Row],[BCD]]&gt;UIoptions!$S$10,PCdb[[#This Row],[BCD]]&lt;UIoptions!$T$10),1,0)</f>
        <v>0</v>
      </c>
      <c r="BC191" s="38">
        <f>IF(AND(PCdb[[#This Row],[PD]]&gt;UIoptions!$S$11,PCdb[[#This Row],[PD]]&lt;UIoptions!$T$11),1,0)</f>
        <v>0</v>
      </c>
      <c r="BD191" s="38">
        <f>IF(AND(UIoptions!$P$14&lt;=PCdb[[#This Row],[PL (MAX)]],UIoptions!$P$14&gt;UIoptions!$S$14),1,0)</f>
        <v>1</v>
      </c>
      <c r="BE191" s="38">
        <f>IF(AND(PCdb[[#This Row],[SD]]&gt;UIoptions!$S$12,PCdb[[#This Row],[SD]]&lt;UIoptions!$T$12),1,0)</f>
        <v>0</v>
      </c>
      <c r="BF191" s="38">
        <f>IF(AND(PCdb[[#This Row],[SL]]&gt;UIoptions!$S$13,PCdb[[#This Row],[SL]]&lt;UIoptions!$T$13),1,0)</f>
        <v>0</v>
      </c>
      <c r="BG191" s="38">
        <f>IF(UIoptions!$N$35=1,IF(AND(PCdb[[#This Row],[SQ_SZ]]&gt;UIoptions!$S$15,PCdb[[#This Row],[SQ_SZ]]&lt;UIoptions!$T$15),1,0),1)</f>
        <v>0</v>
      </c>
      <c r="BH191" s="38">
        <f>IF(UIoptions!$N$35=2,IF(AND(PCdb[[#This Row],[ROUND_D]]&gt;UIoptions!$S$15,PCdb[[#This Row],[ROUND_D]]&lt;UIoptions!$T$15),1,0),1)</f>
        <v>1</v>
      </c>
      <c r="BI191" s="38">
        <f>IF(UIoptions!$N$75&lt;&gt;1,1,IF(AND(PCdb[[#This Row],[FL]]&gt;UIoptions!$S$16,PCdb[[#This Row],[FL]]&lt;UIoptions!$T$16),1,0))</f>
        <v>0</v>
      </c>
      <c r="BJ191" s="38" t="e">
        <f>IF(OR(UIoptions!$Q$18=PCdb[[#This Row],[THRU_SCREW]],UIoptions!$Q$18="NA"),1,0)</f>
        <v>#N/A</v>
      </c>
      <c r="BK191" s="38">
        <f>IF(OR(UIoptions!$P$19=PCdb[[#This Row],[THREAD_SZ]],UIoptions!$P$19="NA"),1,0)</f>
        <v>1</v>
      </c>
      <c r="BL191" s="38">
        <f>IF(UIoptions!$N$75=1,1,IF(AND(PCdb[[#This Row],[THREAD_L]]&gt;UIoptions!$S$17,PCdb[[#This Row],[THREAD_L]]&lt;UIoptions!$T$17),1,0))</f>
        <v>1</v>
      </c>
      <c r="BM191" s="38" t="e">
        <f>IF(SUM(PCdb[[#This Row],[BDhit]:[THREAD_Lhit]])=11,1,0)</f>
        <v>#N/A</v>
      </c>
      <c r="BN19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66.738.146.3520.658.7NA5M4NANA4</v>
      </c>
      <c r="BO191" s="38" t="e">
        <f>SUM(PCdb[[#This Row],[BDhit]:[THREAD_Lhit]])</f>
        <v>#N/A</v>
      </c>
    </row>
    <row r="192" spans="1:67" x14ac:dyDescent="0.25">
      <c r="A192" s="7">
        <v>192</v>
      </c>
      <c r="B192" s="93">
        <v>50</v>
      </c>
      <c r="C192" s="93">
        <v>35</v>
      </c>
      <c r="D192" s="93">
        <v>4</v>
      </c>
      <c r="E192" s="93">
        <v>13</v>
      </c>
      <c r="F192" s="93">
        <v>25.5</v>
      </c>
      <c r="G192" s="93">
        <v>43</v>
      </c>
      <c r="H192" s="93" t="s">
        <v>87</v>
      </c>
      <c r="I192" s="93">
        <v>4.8</v>
      </c>
      <c r="J192" s="93" t="s">
        <v>7</v>
      </c>
      <c r="K192" s="93" t="s">
        <v>87</v>
      </c>
      <c r="L192" s="93" t="s">
        <v>87</v>
      </c>
      <c r="M192" s="93">
        <v>4</v>
      </c>
      <c r="N192" s="38" t="s">
        <v>7</v>
      </c>
      <c r="O192" s="38"/>
      <c r="P192" s="38"/>
      <c r="Q192" s="38"/>
      <c r="R192" s="38"/>
      <c r="S192" s="38"/>
      <c r="T192" s="38"/>
      <c r="U192" s="38"/>
      <c r="V192" s="25">
        <v>41.7</v>
      </c>
      <c r="W192" s="38" t="s">
        <v>87</v>
      </c>
      <c r="X192" s="38" t="s">
        <v>87</v>
      </c>
      <c r="Y192" s="38" t="s">
        <v>180</v>
      </c>
      <c r="Z192" s="38" t="s">
        <v>640</v>
      </c>
      <c r="AA192" s="38">
        <v>45</v>
      </c>
      <c r="AB192" s="38">
        <v>90</v>
      </c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>
        <f>IF(AND(PCdb[[#This Row],[BCD]]&gt;UIoptions!$S$10,PCdb[[#This Row],[BCD]]&lt;UIoptions!$T$10),1,0)</f>
        <v>0</v>
      </c>
      <c r="BC192" s="38">
        <f>IF(AND(PCdb[[#This Row],[PD]]&gt;UIoptions!$S$11,PCdb[[#This Row],[PD]]&lt;UIoptions!$T$11),1,0)</f>
        <v>0</v>
      </c>
      <c r="BD192" s="38">
        <f>IF(AND(UIoptions!$P$14&lt;=PCdb[[#This Row],[PL (MAX)]],UIoptions!$P$14&gt;UIoptions!$S$14),1,0)</f>
        <v>1</v>
      </c>
      <c r="BE192" s="38">
        <f>IF(AND(PCdb[[#This Row],[SD]]&gt;UIoptions!$S$12,PCdb[[#This Row],[SD]]&lt;UIoptions!$T$12),1,0)</f>
        <v>0</v>
      </c>
      <c r="BF192" s="38">
        <f>IF(AND(PCdb[[#This Row],[SL]]&gt;UIoptions!$S$13,PCdb[[#This Row],[SL]]&lt;UIoptions!$T$13),1,0)</f>
        <v>0</v>
      </c>
      <c r="BG192" s="38">
        <f>IF(UIoptions!$N$35=1,IF(AND(PCdb[[#This Row],[SQ_SZ]]&gt;UIoptions!$S$15,PCdb[[#This Row],[SQ_SZ]]&lt;UIoptions!$T$15),1,0),1)</f>
        <v>0</v>
      </c>
      <c r="BH192" s="38">
        <f>IF(UIoptions!$N$35=2,IF(AND(PCdb[[#This Row],[ROUND_D]]&gt;UIoptions!$S$15,PCdb[[#This Row],[ROUND_D]]&lt;UIoptions!$T$15),1,0),1)</f>
        <v>1</v>
      </c>
      <c r="BI192" s="38">
        <f>IF(UIoptions!$N$75&lt;&gt;1,1,IF(AND(PCdb[[#This Row],[FL]]&gt;UIoptions!$S$16,PCdb[[#This Row],[FL]]&lt;UIoptions!$T$16),1,0))</f>
        <v>0</v>
      </c>
      <c r="BJ192" s="38" t="e">
        <f>IF(OR(UIoptions!$Q$18=PCdb[[#This Row],[THRU_SCREW]],UIoptions!$Q$18="NA"),1,0)</f>
        <v>#N/A</v>
      </c>
      <c r="BK192" s="38">
        <f>IF(OR(UIoptions!$P$19=PCdb[[#This Row],[THREAD_SZ]],UIoptions!$P$19="NA"),1,0)</f>
        <v>1</v>
      </c>
      <c r="BL192" s="38">
        <f>IF(UIoptions!$N$75=1,1,IF(AND(PCdb[[#This Row],[THREAD_L]]&gt;UIoptions!$S$17,PCdb[[#This Row],[THREAD_L]]&lt;UIoptions!$T$17),1,0))</f>
        <v>1</v>
      </c>
      <c r="BM192" s="38" t="e">
        <f>IF(SUM(PCdb[[#This Row],[BDhit]:[THREAD_Lhit]])=11,1,0)</f>
        <v>#N/A</v>
      </c>
      <c r="BN19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503541325.543NA4.8M4NANA4</v>
      </c>
      <c r="BO192" s="38" t="e">
        <f>SUM(PCdb[[#This Row],[BDhit]:[THREAD_Lhit]])</f>
        <v>#N/A</v>
      </c>
    </row>
    <row r="193" spans="1:67" x14ac:dyDescent="0.25">
      <c r="A193" s="7">
        <v>193</v>
      </c>
      <c r="B193" s="93">
        <v>66.7</v>
      </c>
      <c r="C193" s="93">
        <v>38.1</v>
      </c>
      <c r="D193" s="93">
        <v>4</v>
      </c>
      <c r="E193" s="93">
        <v>8</v>
      </c>
      <c r="F193" s="93">
        <v>24</v>
      </c>
      <c r="G193" s="93">
        <v>56.2</v>
      </c>
      <c r="H193" s="93" t="s">
        <v>87</v>
      </c>
      <c r="I193" s="93">
        <v>7</v>
      </c>
      <c r="J193" s="93" t="s">
        <v>7</v>
      </c>
      <c r="K193" s="93" t="s">
        <v>87</v>
      </c>
      <c r="L193" s="93" t="s">
        <v>87</v>
      </c>
      <c r="M193" s="93">
        <v>4</v>
      </c>
      <c r="N193" s="38" t="s">
        <v>7</v>
      </c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>
        <v>24</v>
      </c>
      <c r="AK193" s="38" t="s">
        <v>87</v>
      </c>
      <c r="AL193" s="38" t="s">
        <v>130</v>
      </c>
      <c r="AM193" s="38" t="s">
        <v>177</v>
      </c>
      <c r="AN193" s="38">
        <v>45</v>
      </c>
      <c r="AO193" s="38">
        <v>90</v>
      </c>
      <c r="AP193" s="38">
        <v>24</v>
      </c>
      <c r="AQ193" s="38">
        <v>0</v>
      </c>
      <c r="AR193" s="38" t="s">
        <v>130</v>
      </c>
      <c r="AS193" s="38" t="s">
        <v>176</v>
      </c>
      <c r="AT193" s="38">
        <v>45</v>
      </c>
      <c r="AU193" s="38">
        <v>90</v>
      </c>
      <c r="AV193" s="38"/>
      <c r="AW193" s="38"/>
      <c r="AX193" s="38"/>
      <c r="AY193" s="38"/>
      <c r="AZ193" s="38"/>
      <c r="BA193" s="38"/>
      <c r="BB193" s="38">
        <f>IF(AND(PCdb[[#This Row],[BCD]]&gt;UIoptions!$S$10,PCdb[[#This Row],[BCD]]&lt;UIoptions!$T$10),1,0)</f>
        <v>0</v>
      </c>
      <c r="BC193" s="38">
        <f>IF(AND(PCdb[[#This Row],[PD]]&gt;UIoptions!$S$11,PCdb[[#This Row],[PD]]&lt;UIoptions!$T$11),1,0)</f>
        <v>0</v>
      </c>
      <c r="BD193" s="38">
        <f>IF(AND(UIoptions!$P$14&lt;=PCdb[[#This Row],[PL (MAX)]],UIoptions!$P$14&gt;UIoptions!$S$14),1,0)</f>
        <v>1</v>
      </c>
      <c r="BE193" s="38">
        <f>IF(AND(PCdb[[#This Row],[SD]]&gt;UIoptions!$S$12,PCdb[[#This Row],[SD]]&lt;UIoptions!$T$12),1,0)</f>
        <v>0</v>
      </c>
      <c r="BF193" s="38">
        <f>IF(AND(PCdb[[#This Row],[SL]]&gt;UIoptions!$S$13,PCdb[[#This Row],[SL]]&lt;UIoptions!$T$13),1,0)</f>
        <v>0</v>
      </c>
      <c r="BG193" s="38">
        <f>IF(UIoptions!$N$35=1,IF(AND(PCdb[[#This Row],[SQ_SZ]]&gt;UIoptions!$S$15,PCdb[[#This Row],[SQ_SZ]]&lt;UIoptions!$T$15),1,0),1)</f>
        <v>0</v>
      </c>
      <c r="BH193" s="38">
        <f>IF(UIoptions!$N$35=2,IF(AND(PCdb[[#This Row],[ROUND_D]]&gt;UIoptions!$S$15,PCdb[[#This Row],[ROUND_D]]&lt;UIoptions!$T$15),1,0),1)</f>
        <v>1</v>
      </c>
      <c r="BI193" s="38">
        <f>IF(UIoptions!$N$75&lt;&gt;1,1,IF(AND(PCdb[[#This Row],[FL]]&gt;UIoptions!$S$16,PCdb[[#This Row],[FL]]&lt;UIoptions!$T$16),1,0))</f>
        <v>0</v>
      </c>
      <c r="BJ193" s="38" t="e">
        <f>IF(OR(UIoptions!$Q$18=PCdb[[#This Row],[THRU_SCREW]],UIoptions!$Q$18="NA"),1,0)</f>
        <v>#N/A</v>
      </c>
      <c r="BK193" s="38">
        <f>IF(OR(UIoptions!$P$19=PCdb[[#This Row],[THREAD_SZ]],UIoptions!$P$19="NA"),1,0)</f>
        <v>1</v>
      </c>
      <c r="BL193" s="38">
        <f>IF(UIoptions!$N$75=1,1,IF(AND(PCdb[[#This Row],[THREAD_L]]&gt;UIoptions!$S$17,PCdb[[#This Row],[THREAD_L]]&lt;UIoptions!$T$17),1,0))</f>
        <v>1</v>
      </c>
      <c r="BM193" s="38" t="e">
        <f>IF(SUM(PCdb[[#This Row],[BDhit]:[THREAD_Lhit]])=11,1,0)</f>
        <v>#N/A</v>
      </c>
      <c r="BN19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66.738.1482456.2NA7M4NANA4</v>
      </c>
      <c r="BO193" s="38" t="e">
        <f>SUM(PCdb[[#This Row],[BDhit]:[THREAD_Lhit]])</f>
        <v>#N/A</v>
      </c>
    </row>
    <row r="194" spans="1:67" x14ac:dyDescent="0.25">
      <c r="A194" s="7">
        <v>194</v>
      </c>
      <c r="B194" s="93">
        <v>46</v>
      </c>
      <c r="C194" s="93">
        <v>30</v>
      </c>
      <c r="D194" s="93">
        <v>4</v>
      </c>
      <c r="E194" s="93">
        <v>8</v>
      </c>
      <c r="F194" s="93">
        <v>27.5</v>
      </c>
      <c r="G194" s="93">
        <v>40</v>
      </c>
      <c r="H194" s="93" t="s">
        <v>87</v>
      </c>
      <c r="I194" s="93">
        <v>5.2</v>
      </c>
      <c r="J194" s="93" t="s">
        <v>7</v>
      </c>
      <c r="K194" s="93" t="s">
        <v>87</v>
      </c>
      <c r="L194" s="93" t="s">
        <v>87</v>
      </c>
      <c r="M194" s="93">
        <v>4</v>
      </c>
      <c r="N194" s="38" t="s">
        <v>7</v>
      </c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>
        <v>17.5</v>
      </c>
      <c r="AK194" s="38" t="s">
        <v>87</v>
      </c>
      <c r="AL194" s="38" t="s">
        <v>130</v>
      </c>
      <c r="AM194" s="38" t="s">
        <v>176</v>
      </c>
      <c r="AN194" s="38">
        <v>45</v>
      </c>
      <c r="AO194" s="38">
        <v>90</v>
      </c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>
        <f>IF(AND(PCdb[[#This Row],[BCD]]&gt;UIoptions!$S$10,PCdb[[#This Row],[BCD]]&lt;UIoptions!$T$10),1,0)</f>
        <v>0</v>
      </c>
      <c r="BC194" s="38">
        <f>IF(AND(PCdb[[#This Row],[PD]]&gt;UIoptions!$S$11,PCdb[[#This Row],[PD]]&lt;UIoptions!$T$11),1,0)</f>
        <v>0</v>
      </c>
      <c r="BD194" s="38">
        <f>IF(AND(UIoptions!$P$14&lt;=PCdb[[#This Row],[PL (MAX)]],UIoptions!$P$14&gt;UIoptions!$S$14),1,0)</f>
        <v>1</v>
      </c>
      <c r="BE194" s="38">
        <f>IF(AND(PCdb[[#This Row],[SD]]&gt;UIoptions!$S$12,PCdb[[#This Row],[SD]]&lt;UIoptions!$T$12),1,0)</f>
        <v>0</v>
      </c>
      <c r="BF194" s="38">
        <f>IF(AND(PCdb[[#This Row],[SL]]&gt;UIoptions!$S$13,PCdb[[#This Row],[SL]]&lt;UIoptions!$T$13),1,0)</f>
        <v>0</v>
      </c>
      <c r="BG194" s="38">
        <f>IF(UIoptions!$N$35=1,IF(AND(PCdb[[#This Row],[SQ_SZ]]&gt;UIoptions!$S$15,PCdb[[#This Row],[SQ_SZ]]&lt;UIoptions!$T$15),1,0),1)</f>
        <v>0</v>
      </c>
      <c r="BH194" s="38">
        <f>IF(UIoptions!$N$35=2,IF(AND(PCdb[[#This Row],[ROUND_D]]&gt;UIoptions!$S$15,PCdb[[#This Row],[ROUND_D]]&lt;UIoptions!$T$15),1,0),1)</f>
        <v>1</v>
      </c>
      <c r="BI194" s="38">
        <f>IF(UIoptions!$N$75&lt;&gt;1,1,IF(AND(PCdb[[#This Row],[FL]]&gt;UIoptions!$S$16,PCdb[[#This Row],[FL]]&lt;UIoptions!$T$16),1,0))</f>
        <v>0</v>
      </c>
      <c r="BJ194" s="38" t="e">
        <f>IF(OR(UIoptions!$Q$18=PCdb[[#This Row],[THRU_SCREW]],UIoptions!$Q$18="NA"),1,0)</f>
        <v>#N/A</v>
      </c>
      <c r="BK194" s="38">
        <f>IF(OR(UIoptions!$P$19=PCdb[[#This Row],[THREAD_SZ]],UIoptions!$P$19="NA"),1,0)</f>
        <v>1</v>
      </c>
      <c r="BL194" s="38">
        <f>IF(UIoptions!$N$75=1,1,IF(AND(PCdb[[#This Row],[THREAD_L]]&gt;UIoptions!$S$17,PCdb[[#This Row],[THREAD_L]]&lt;UIoptions!$T$17),1,0))</f>
        <v>1</v>
      </c>
      <c r="BM194" s="38" t="e">
        <f>IF(SUM(PCdb[[#This Row],[BDhit]:[THREAD_Lhit]])=11,1,0)</f>
        <v>#N/A</v>
      </c>
      <c r="BN19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46304827.540NA5.2M4NANA4</v>
      </c>
      <c r="BO194" s="38" t="e">
        <f>SUM(PCdb[[#This Row],[BDhit]:[THREAD_Lhit]])</f>
        <v>#N/A</v>
      </c>
    </row>
    <row r="195" spans="1:67" x14ac:dyDescent="0.25">
      <c r="A195" s="7">
        <v>195</v>
      </c>
      <c r="B195" s="93">
        <v>50</v>
      </c>
      <c r="C195" s="93">
        <v>26</v>
      </c>
      <c r="D195" s="93">
        <v>4</v>
      </c>
      <c r="E195" s="93">
        <v>10</v>
      </c>
      <c r="F195" s="93">
        <v>26</v>
      </c>
      <c r="G195" s="93">
        <v>45</v>
      </c>
      <c r="H195" s="93" t="s">
        <v>87</v>
      </c>
      <c r="I195" s="93">
        <v>8</v>
      </c>
      <c r="J195" s="93" t="s">
        <v>105</v>
      </c>
      <c r="K195" s="93" t="s">
        <v>87</v>
      </c>
      <c r="L195" s="93" t="s">
        <v>87</v>
      </c>
      <c r="M195" s="93">
        <v>4</v>
      </c>
      <c r="N195" s="38" t="s">
        <v>105</v>
      </c>
      <c r="O195" s="25">
        <v>38.700000000000003</v>
      </c>
      <c r="P195" s="38">
        <v>21</v>
      </c>
      <c r="Q195" s="38" t="s">
        <v>87</v>
      </c>
      <c r="R195" s="38" t="s">
        <v>130</v>
      </c>
      <c r="S195" s="38" t="s">
        <v>172</v>
      </c>
      <c r="T195" s="38">
        <v>45</v>
      </c>
      <c r="U195" s="38">
        <v>90</v>
      </c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>
        <f>IF(AND(PCdb[[#This Row],[BCD]]&gt;UIoptions!$S$10,PCdb[[#This Row],[BCD]]&lt;UIoptions!$T$10),1,0)</f>
        <v>0</v>
      </c>
      <c r="BC195" s="38">
        <f>IF(AND(PCdb[[#This Row],[PD]]&gt;UIoptions!$S$11,PCdb[[#This Row],[PD]]&lt;UIoptions!$T$11),1,0)</f>
        <v>0</v>
      </c>
      <c r="BD195" s="38">
        <f>IF(AND(UIoptions!$P$14&lt;=PCdb[[#This Row],[PL (MAX)]],UIoptions!$P$14&gt;UIoptions!$S$14),1,0)</f>
        <v>1</v>
      </c>
      <c r="BE195" s="38">
        <f>IF(AND(PCdb[[#This Row],[SD]]&gt;UIoptions!$S$12,PCdb[[#This Row],[SD]]&lt;UIoptions!$T$12),1,0)</f>
        <v>0</v>
      </c>
      <c r="BF195" s="38">
        <f>IF(AND(PCdb[[#This Row],[SL]]&gt;UIoptions!$S$13,PCdb[[#This Row],[SL]]&lt;UIoptions!$T$13),1,0)</f>
        <v>0</v>
      </c>
      <c r="BG195" s="38">
        <f>IF(UIoptions!$N$35=1,IF(AND(PCdb[[#This Row],[SQ_SZ]]&gt;UIoptions!$S$15,PCdb[[#This Row],[SQ_SZ]]&lt;UIoptions!$T$15),1,0),1)</f>
        <v>0</v>
      </c>
      <c r="BH195" s="38">
        <f>IF(UIoptions!$N$35=2,IF(AND(PCdb[[#This Row],[ROUND_D]]&gt;UIoptions!$S$15,PCdb[[#This Row],[ROUND_D]]&lt;UIoptions!$T$15),1,0),1)</f>
        <v>1</v>
      </c>
      <c r="BI195" s="38">
        <f>IF(UIoptions!$N$75&lt;&gt;1,1,IF(AND(PCdb[[#This Row],[FL]]&gt;UIoptions!$S$16,PCdb[[#This Row],[FL]]&lt;UIoptions!$T$16),1,0))</f>
        <v>0</v>
      </c>
      <c r="BJ195" s="38" t="e">
        <f>IF(OR(UIoptions!$Q$18=PCdb[[#This Row],[THRU_SCREW]],UIoptions!$Q$18="NA"),1,0)</f>
        <v>#N/A</v>
      </c>
      <c r="BK195" s="38">
        <f>IF(OR(UIoptions!$P$19=PCdb[[#This Row],[THREAD_SZ]],UIoptions!$P$19="NA"),1,0)</f>
        <v>1</v>
      </c>
      <c r="BL195" s="38">
        <f>IF(UIoptions!$N$75=1,1,IF(AND(PCdb[[#This Row],[THREAD_L]]&gt;UIoptions!$S$17,PCdb[[#This Row],[THREAD_L]]&lt;UIoptions!$T$17),1,0))</f>
        <v>1</v>
      </c>
      <c r="BM195" s="38" t="e">
        <f>IF(SUM(PCdb[[#This Row],[BDhit]:[THREAD_Lhit]])=11,1,0)</f>
        <v>#N/A</v>
      </c>
      <c r="BN19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50264102645NA8M3NANA4</v>
      </c>
      <c r="BO195" s="38" t="e">
        <f>SUM(PCdb[[#This Row],[BDhit]:[THREAD_Lhit]])</f>
        <v>#N/A</v>
      </c>
    </row>
    <row r="196" spans="1:67" x14ac:dyDescent="0.25">
      <c r="A196" s="7">
        <v>200</v>
      </c>
      <c r="B196" s="93">
        <v>63</v>
      </c>
      <c r="C196" s="93">
        <v>40</v>
      </c>
      <c r="D196" s="93">
        <v>4</v>
      </c>
      <c r="E196" s="93">
        <v>11</v>
      </c>
      <c r="F196" s="93">
        <v>25</v>
      </c>
      <c r="G196" s="93">
        <v>56.5</v>
      </c>
      <c r="H196" s="93" t="s">
        <v>87</v>
      </c>
      <c r="I196" s="93">
        <v>18</v>
      </c>
      <c r="J196" s="93" t="s">
        <v>45</v>
      </c>
      <c r="K196" s="93" t="s">
        <v>87</v>
      </c>
      <c r="L196" s="93" t="s">
        <v>87</v>
      </c>
      <c r="M196" s="93">
        <v>4</v>
      </c>
      <c r="N196" s="38" t="s">
        <v>45</v>
      </c>
      <c r="O196" s="25">
        <v>38.700000000000003</v>
      </c>
      <c r="P196" s="38">
        <v>25</v>
      </c>
      <c r="Q196" s="38" t="s">
        <v>87</v>
      </c>
      <c r="R196" s="38" t="s">
        <v>130</v>
      </c>
      <c r="S196" s="38" t="s">
        <v>172</v>
      </c>
      <c r="T196" s="38">
        <v>45</v>
      </c>
      <c r="U196" s="38">
        <v>90</v>
      </c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>
        <f>IF(AND(PCdb[[#This Row],[BCD]]&gt;UIoptions!$S$10,PCdb[[#This Row],[BCD]]&lt;UIoptions!$T$10),1,0)</f>
        <v>0</v>
      </c>
      <c r="BC196" s="38">
        <f>IF(AND(PCdb[[#This Row],[PD]]&gt;UIoptions!$S$11,PCdb[[#This Row],[PD]]&lt;UIoptions!$T$11),1,0)</f>
        <v>0</v>
      </c>
      <c r="BD196" s="38">
        <f>IF(AND(UIoptions!$P$14&lt;=PCdb[[#This Row],[PL (MAX)]],UIoptions!$P$14&gt;UIoptions!$S$14),1,0)</f>
        <v>1</v>
      </c>
      <c r="BE196" s="38">
        <f>IF(AND(PCdb[[#This Row],[SD]]&gt;UIoptions!$S$12,PCdb[[#This Row],[SD]]&lt;UIoptions!$T$12),1,0)</f>
        <v>1</v>
      </c>
      <c r="BF196" s="38">
        <f>IF(AND(PCdb[[#This Row],[SL]]&gt;UIoptions!$S$13,PCdb[[#This Row],[SL]]&lt;UIoptions!$T$13),1,0)</f>
        <v>0</v>
      </c>
      <c r="BG196" s="38">
        <f>IF(UIoptions!$N$35=1,IF(AND(PCdb[[#This Row],[SQ_SZ]]&gt;UIoptions!$S$15,PCdb[[#This Row],[SQ_SZ]]&lt;UIoptions!$T$15),1,0),1)</f>
        <v>0</v>
      </c>
      <c r="BH196" s="38">
        <f>IF(UIoptions!$N$35=2,IF(AND(PCdb[[#This Row],[ROUND_D]]&gt;UIoptions!$S$15,PCdb[[#This Row],[ROUND_D]]&lt;UIoptions!$T$15),1,0),1)</f>
        <v>1</v>
      </c>
      <c r="BI196" s="38">
        <f>IF(UIoptions!$N$75&lt;&gt;1,1,IF(AND(PCdb[[#This Row],[FL]]&gt;UIoptions!$S$16,PCdb[[#This Row],[FL]]&lt;UIoptions!$T$16),1,0))</f>
        <v>0</v>
      </c>
      <c r="BJ196" s="38" t="e">
        <f>IF(OR(UIoptions!$Q$18=PCdb[[#This Row],[THRU_SCREW]],UIoptions!$Q$18="NA"),1,0)</f>
        <v>#N/A</v>
      </c>
      <c r="BK196" s="38">
        <f>IF(OR(UIoptions!$P$19=PCdb[[#This Row],[THREAD_SZ]],UIoptions!$P$19="NA"),1,0)</f>
        <v>1</v>
      </c>
      <c r="BL196" s="38">
        <f>IF(UIoptions!$N$75=1,1,IF(AND(PCdb[[#This Row],[THREAD_L]]&gt;UIoptions!$S$17,PCdb[[#This Row],[THREAD_L]]&lt;UIoptions!$T$17),1,0))</f>
        <v>1</v>
      </c>
      <c r="BM196" s="38" t="e">
        <f>IF(SUM(PCdb[[#This Row],[BDhit]:[THREAD_Lhit]])=11,1,0)</f>
        <v>#N/A</v>
      </c>
      <c r="BN19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63404112556.5NA18M5NANA4</v>
      </c>
      <c r="BO196" s="38" t="e">
        <f>SUM(PCdb[[#This Row],[BDhit]:[THREAD_Lhit]])</f>
        <v>#N/A</v>
      </c>
    </row>
    <row r="197" spans="1:67" x14ac:dyDescent="0.25">
      <c r="A197" s="7">
        <v>201</v>
      </c>
      <c r="B197" s="93">
        <v>77.5</v>
      </c>
      <c r="C197" s="93">
        <v>60</v>
      </c>
      <c r="D197" s="93">
        <v>4</v>
      </c>
      <c r="E197" s="93">
        <v>11</v>
      </c>
      <c r="F197" s="93">
        <v>23</v>
      </c>
      <c r="G197" s="93">
        <v>71</v>
      </c>
      <c r="H197" s="93" t="s">
        <v>87</v>
      </c>
      <c r="I197" s="93">
        <v>8.5</v>
      </c>
      <c r="J197" s="93" t="s">
        <v>45</v>
      </c>
      <c r="K197" s="93" t="s">
        <v>87</v>
      </c>
      <c r="L197" s="93" t="s">
        <v>87</v>
      </c>
      <c r="M197" s="93">
        <v>4</v>
      </c>
      <c r="N197" s="38" t="s">
        <v>45</v>
      </c>
      <c r="O197" s="38"/>
      <c r="P197" s="38"/>
      <c r="Q197" s="38"/>
      <c r="R197" s="38"/>
      <c r="S197" s="38"/>
      <c r="T197" s="38"/>
      <c r="U197" s="38"/>
      <c r="V197" s="25">
        <v>45.2</v>
      </c>
      <c r="W197" s="38">
        <v>32</v>
      </c>
      <c r="X197" s="38" t="s">
        <v>87</v>
      </c>
      <c r="Y197" s="38" t="s">
        <v>130</v>
      </c>
      <c r="Z197" s="38" t="s">
        <v>172</v>
      </c>
      <c r="AA197" s="38">
        <v>45</v>
      </c>
      <c r="AB197" s="38">
        <v>90</v>
      </c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>
        <f>IF(AND(PCdb[[#This Row],[BCD]]&gt;UIoptions!$S$10,PCdb[[#This Row],[BCD]]&lt;UIoptions!$T$10),1,0)</f>
        <v>0</v>
      </c>
      <c r="BC197" s="38">
        <f>IF(AND(PCdb[[#This Row],[PD]]&gt;UIoptions!$S$11,PCdb[[#This Row],[PD]]&lt;UIoptions!$T$11),1,0)</f>
        <v>1</v>
      </c>
      <c r="BD197" s="38">
        <f>IF(AND(UIoptions!$P$14&lt;=PCdb[[#This Row],[PL (MAX)]],UIoptions!$P$14&gt;UIoptions!$S$14),1,0)</f>
        <v>1</v>
      </c>
      <c r="BE197" s="38">
        <f>IF(AND(PCdb[[#This Row],[SD]]&gt;UIoptions!$S$12,PCdb[[#This Row],[SD]]&lt;UIoptions!$T$12),1,0)</f>
        <v>1</v>
      </c>
      <c r="BF197" s="38">
        <f>IF(AND(PCdb[[#This Row],[SL]]&gt;UIoptions!$S$13,PCdb[[#This Row],[SL]]&lt;UIoptions!$T$13),1,0)</f>
        <v>1</v>
      </c>
      <c r="BG197" s="38">
        <f>IF(UIoptions!$N$35=1,IF(AND(PCdb[[#This Row],[SQ_SZ]]&gt;UIoptions!$S$15,PCdb[[#This Row],[SQ_SZ]]&lt;UIoptions!$T$15),1,0),1)</f>
        <v>0</v>
      </c>
      <c r="BH197" s="38">
        <f>IF(UIoptions!$N$35=2,IF(AND(PCdb[[#This Row],[ROUND_D]]&gt;UIoptions!$S$15,PCdb[[#This Row],[ROUND_D]]&lt;UIoptions!$T$15),1,0),1)</f>
        <v>1</v>
      </c>
      <c r="BI197" s="38">
        <f>IF(UIoptions!$N$75&lt;&gt;1,1,IF(AND(PCdb[[#This Row],[FL]]&gt;UIoptions!$S$16,PCdb[[#This Row],[FL]]&lt;UIoptions!$T$16),1,0))</f>
        <v>0</v>
      </c>
      <c r="BJ197" s="38" t="e">
        <f>IF(OR(UIoptions!$Q$18=PCdb[[#This Row],[THRU_SCREW]],UIoptions!$Q$18="NA"),1,0)</f>
        <v>#N/A</v>
      </c>
      <c r="BK197" s="38">
        <f>IF(OR(UIoptions!$P$19=PCdb[[#This Row],[THREAD_SZ]],UIoptions!$P$19="NA"),1,0)</f>
        <v>1</v>
      </c>
      <c r="BL197" s="38">
        <f>IF(UIoptions!$N$75=1,1,IF(AND(PCdb[[#This Row],[THREAD_L]]&gt;UIoptions!$S$17,PCdb[[#This Row],[THREAD_L]]&lt;UIoptions!$T$17),1,0))</f>
        <v>1</v>
      </c>
      <c r="BM197" s="38" t="e">
        <f>IF(SUM(PCdb[[#This Row],[BDhit]:[THREAD_Lhit]])=11,1,0)</f>
        <v>#N/A</v>
      </c>
      <c r="BN19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77.5604112371NA8.5M5NANA4</v>
      </c>
      <c r="BO197" s="38" t="e">
        <f>SUM(PCdb[[#This Row],[BDhit]:[THREAD_Lhit]])</f>
        <v>#N/A</v>
      </c>
    </row>
    <row r="198" spans="1:67" x14ac:dyDescent="0.25">
      <c r="A198" s="7">
        <v>202</v>
      </c>
      <c r="B198" s="93">
        <v>100</v>
      </c>
      <c r="C198" s="93">
        <v>80</v>
      </c>
      <c r="D198" s="93">
        <v>4</v>
      </c>
      <c r="E198" s="93">
        <v>14</v>
      </c>
      <c r="F198" s="93">
        <v>30</v>
      </c>
      <c r="G198" s="93">
        <v>89</v>
      </c>
      <c r="H198" s="93" t="s">
        <v>87</v>
      </c>
      <c r="I198" s="93">
        <v>8</v>
      </c>
      <c r="J198" s="93" t="s">
        <v>49</v>
      </c>
      <c r="K198" s="93" t="s">
        <v>87</v>
      </c>
      <c r="L198" s="93" t="s">
        <v>87</v>
      </c>
      <c r="M198" s="93">
        <v>4</v>
      </c>
      <c r="N198" s="38" t="s">
        <v>49</v>
      </c>
      <c r="O198" s="38"/>
      <c r="P198" s="38"/>
      <c r="Q198" s="38"/>
      <c r="R198" s="38"/>
      <c r="S198" s="38"/>
      <c r="T198" s="38"/>
      <c r="U198" s="38"/>
      <c r="V198" s="38">
        <v>45.2</v>
      </c>
      <c r="W198" s="38" t="s">
        <v>87</v>
      </c>
      <c r="X198" s="38" t="s">
        <v>87</v>
      </c>
      <c r="Y198" s="38" t="s">
        <v>180</v>
      </c>
      <c r="Z198" s="38" t="s">
        <v>172</v>
      </c>
      <c r="AA198" s="38">
        <v>45</v>
      </c>
      <c r="AB198" s="38">
        <v>90</v>
      </c>
      <c r="AC198" s="25">
        <v>48.7</v>
      </c>
      <c r="AD198" s="38">
        <v>42</v>
      </c>
      <c r="AE198" s="38" t="s">
        <v>87</v>
      </c>
      <c r="AF198" s="38" t="s">
        <v>130</v>
      </c>
      <c r="AG198" s="38" t="s">
        <v>172</v>
      </c>
      <c r="AH198" s="38">
        <v>45</v>
      </c>
      <c r="AI198" s="38">
        <v>90</v>
      </c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>
        <v>42</v>
      </c>
      <c r="AW198" s="38" t="s">
        <v>87</v>
      </c>
      <c r="AX198" s="38" t="s">
        <v>130</v>
      </c>
      <c r="AY198" s="38" t="s">
        <v>177</v>
      </c>
      <c r="AZ198" s="38">
        <v>45</v>
      </c>
      <c r="BA198" s="38">
        <v>90</v>
      </c>
      <c r="BB198" s="38">
        <f>IF(AND(PCdb[[#This Row],[BCD]]&gt;UIoptions!$S$10,PCdb[[#This Row],[BCD]]&lt;UIoptions!$T$10),1,0)</f>
        <v>0</v>
      </c>
      <c r="BC198" s="38">
        <f>IF(AND(PCdb[[#This Row],[PD]]&gt;UIoptions!$S$11,PCdb[[#This Row],[PD]]&lt;UIoptions!$T$11),1,0)</f>
        <v>0</v>
      </c>
      <c r="BD198" s="38">
        <f>IF(AND(UIoptions!$P$14&lt;=PCdb[[#This Row],[PL (MAX)]],UIoptions!$P$14&gt;UIoptions!$S$14),1,0)</f>
        <v>1</v>
      </c>
      <c r="BE198" s="38">
        <f>IF(AND(PCdb[[#This Row],[SD]]&gt;UIoptions!$S$12,PCdb[[#This Row],[SD]]&lt;UIoptions!$T$12),1,0)</f>
        <v>0</v>
      </c>
      <c r="BF198" s="38">
        <f>IF(AND(PCdb[[#This Row],[SL]]&gt;UIoptions!$S$13,PCdb[[#This Row],[SL]]&lt;UIoptions!$T$13),1,0)</f>
        <v>0</v>
      </c>
      <c r="BG198" s="38">
        <f>IF(UIoptions!$N$35=1,IF(AND(PCdb[[#This Row],[SQ_SZ]]&gt;UIoptions!$S$15,PCdb[[#This Row],[SQ_SZ]]&lt;UIoptions!$T$15),1,0),1)</f>
        <v>0</v>
      </c>
      <c r="BH198" s="38">
        <f>IF(UIoptions!$N$35=2,IF(AND(PCdb[[#This Row],[ROUND_D]]&gt;UIoptions!$S$15,PCdb[[#This Row],[ROUND_D]]&lt;UIoptions!$T$15),1,0),1)</f>
        <v>1</v>
      </c>
      <c r="BI198" s="38">
        <f>IF(UIoptions!$N$75&lt;&gt;1,1,IF(AND(PCdb[[#This Row],[FL]]&gt;UIoptions!$S$16,PCdb[[#This Row],[FL]]&lt;UIoptions!$T$16),1,0))</f>
        <v>0</v>
      </c>
      <c r="BJ198" s="38" t="e">
        <f>IF(OR(UIoptions!$Q$18=PCdb[[#This Row],[THRU_SCREW]],UIoptions!$Q$18="NA"),1,0)</f>
        <v>#N/A</v>
      </c>
      <c r="BK198" s="38">
        <f>IF(OR(UIoptions!$P$19=PCdb[[#This Row],[THREAD_SZ]],UIoptions!$P$19="NA"),1,0)</f>
        <v>1</v>
      </c>
      <c r="BL198" s="38">
        <f>IF(UIoptions!$N$75=1,1,IF(AND(PCdb[[#This Row],[THREAD_L]]&gt;UIoptions!$S$17,PCdb[[#This Row],[THREAD_L]]&lt;UIoptions!$T$17),1,0))</f>
        <v>1</v>
      </c>
      <c r="BM198" s="38" t="e">
        <f>IF(SUM(PCdb[[#This Row],[BDhit]:[THREAD_Lhit]])=11,1,0)</f>
        <v>#N/A</v>
      </c>
      <c r="BN19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100804143089NA8M6NANA4</v>
      </c>
      <c r="BO198" s="38" t="e">
        <f>SUM(PCdb[[#This Row],[BDhit]:[THREAD_Lhit]])</f>
        <v>#N/A</v>
      </c>
    </row>
    <row r="199" spans="1:67" x14ac:dyDescent="0.25">
      <c r="A199" s="7">
        <v>203</v>
      </c>
      <c r="B199" s="93">
        <v>35</v>
      </c>
      <c r="C199" s="93">
        <v>26</v>
      </c>
      <c r="D199" s="93">
        <v>4</v>
      </c>
      <c r="E199" s="93">
        <v>10</v>
      </c>
      <c r="F199" s="93">
        <v>27</v>
      </c>
      <c r="G199" s="93" t="s">
        <v>87</v>
      </c>
      <c r="H199" s="93">
        <v>42</v>
      </c>
      <c r="I199" s="93" t="s">
        <v>87</v>
      </c>
      <c r="J199" s="93" t="s">
        <v>87</v>
      </c>
      <c r="K199" s="93" t="s">
        <v>7</v>
      </c>
      <c r="L199" s="93">
        <v>8</v>
      </c>
      <c r="M199" s="93">
        <v>4</v>
      </c>
      <c r="N199" s="38">
        <v>5</v>
      </c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 t="s">
        <v>87</v>
      </c>
      <c r="AK199" s="38" t="s">
        <v>87</v>
      </c>
      <c r="AL199" s="38"/>
      <c r="AM199" s="38" t="s">
        <v>642</v>
      </c>
      <c r="AN199" s="38">
        <v>45</v>
      </c>
      <c r="AO199" s="38">
        <v>90</v>
      </c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>
        <f>IF(AND(PCdb[[#This Row],[BCD]]&gt;UIoptions!$S$10,PCdb[[#This Row],[BCD]]&lt;UIoptions!$T$10),1,0)</f>
        <v>0</v>
      </c>
      <c r="BC199" s="38">
        <f>IF(AND(PCdb[[#This Row],[PD]]&gt;UIoptions!$S$11,PCdb[[#This Row],[PD]]&lt;UIoptions!$T$11),1,0)</f>
        <v>0</v>
      </c>
      <c r="BD199" s="38">
        <f>IF(AND(UIoptions!$P$14&lt;=PCdb[[#This Row],[PL (MAX)]],UIoptions!$P$14&gt;UIoptions!$S$14),1,0)</f>
        <v>1</v>
      </c>
      <c r="BE199" s="38">
        <f>IF(AND(PCdb[[#This Row],[SD]]&gt;UIoptions!$S$12,PCdb[[#This Row],[SD]]&lt;UIoptions!$T$12),1,0)</f>
        <v>0</v>
      </c>
      <c r="BF199" s="38">
        <f>IF(AND(PCdb[[#This Row],[SL]]&gt;UIoptions!$S$13,PCdb[[#This Row],[SL]]&lt;UIoptions!$T$13),1,0)</f>
        <v>0</v>
      </c>
      <c r="BG199" s="38">
        <f>IF(UIoptions!$N$35=1,IF(AND(PCdb[[#This Row],[SQ_SZ]]&gt;UIoptions!$S$15,PCdb[[#This Row],[SQ_SZ]]&lt;UIoptions!$T$15),1,0),1)</f>
        <v>0</v>
      </c>
      <c r="BH199" s="38">
        <f>IF(UIoptions!$N$35=2,IF(AND(PCdb[[#This Row],[ROUND_D]]&gt;UIoptions!$S$15,PCdb[[#This Row],[ROUND_D]]&lt;UIoptions!$T$15),1,0),1)</f>
        <v>1</v>
      </c>
      <c r="BI199" s="38">
        <f>IF(UIoptions!$N$75&lt;&gt;1,1,IF(AND(PCdb[[#This Row],[FL]]&gt;UIoptions!$S$16,PCdb[[#This Row],[FL]]&lt;UIoptions!$T$16),1,0))</f>
        <v>0</v>
      </c>
      <c r="BJ199" s="38" t="e">
        <f>IF(OR(UIoptions!$Q$18=PCdb[[#This Row],[THRU_SCREW]],UIoptions!$Q$18="NA"),1,0)</f>
        <v>#N/A</v>
      </c>
      <c r="BK199" s="38">
        <f>IF(OR(UIoptions!$P$19=PCdb[[#This Row],[THREAD_SZ]],UIoptions!$P$19="NA"),1,0)</f>
        <v>1</v>
      </c>
      <c r="BL199" s="38">
        <f>IF(UIoptions!$N$75=1,1,IF(AND(PCdb[[#This Row],[THREAD_L]]&gt;UIoptions!$S$17,PCdb[[#This Row],[THREAD_L]]&lt;UIoptions!$T$17),1,0))</f>
        <v>1</v>
      </c>
      <c r="BM199" s="38" t="e">
        <f>IF(SUM(PCdb[[#This Row],[BDhit]:[THREAD_Lhit]])=11,1,0)</f>
        <v>#N/A</v>
      </c>
      <c r="BN19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352641027NA42NANAM484</v>
      </c>
      <c r="BO199" s="38" t="e">
        <f>SUM(PCdb[[#This Row],[BDhit]:[THREAD_Lhit]])</f>
        <v>#N/A</v>
      </c>
    </row>
    <row r="200" spans="1:67" x14ac:dyDescent="0.25">
      <c r="A200" s="7">
        <v>204</v>
      </c>
      <c r="B200" s="93">
        <v>50</v>
      </c>
      <c r="C200" s="93">
        <v>35</v>
      </c>
      <c r="D200" s="93">
        <v>6.5</v>
      </c>
      <c r="E200" s="93">
        <v>13</v>
      </c>
      <c r="F200" s="93">
        <v>26</v>
      </c>
      <c r="G200" s="93">
        <v>42</v>
      </c>
      <c r="H200" s="93" t="s">
        <v>87</v>
      </c>
      <c r="I200" s="93">
        <v>4</v>
      </c>
      <c r="J200" s="93" t="s">
        <v>105</v>
      </c>
      <c r="K200" s="93" t="s">
        <v>87</v>
      </c>
      <c r="L200" s="93" t="s">
        <v>87</v>
      </c>
      <c r="M200" s="93">
        <v>4</v>
      </c>
      <c r="N200" s="38" t="s">
        <v>105</v>
      </c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 t="s">
        <v>87</v>
      </c>
      <c r="AQ200" s="38" t="s">
        <v>87</v>
      </c>
      <c r="AR200" s="38" t="s">
        <v>130</v>
      </c>
      <c r="AS200" s="38" t="s">
        <v>700</v>
      </c>
      <c r="AT200" s="38">
        <v>45</v>
      </c>
      <c r="AU200" s="38">
        <v>90</v>
      </c>
      <c r="AV200" s="38" t="s">
        <v>87</v>
      </c>
      <c r="AW200" s="38" t="s">
        <v>87</v>
      </c>
      <c r="AX200" s="38" t="s">
        <v>130</v>
      </c>
      <c r="AY200" s="38" t="s">
        <v>701</v>
      </c>
      <c r="AZ200" s="38">
        <v>45</v>
      </c>
      <c r="BA200" s="38">
        <v>90</v>
      </c>
      <c r="BB200" s="38">
        <f>IF(AND(PCdb[[#This Row],[BCD]]&gt;UIoptions!$S$10,PCdb[[#This Row],[BCD]]&lt;UIoptions!$T$10),1,0)</f>
        <v>0</v>
      </c>
      <c r="BC200" s="38">
        <f>IF(AND(PCdb[[#This Row],[PD]]&gt;UIoptions!$S$11,PCdb[[#This Row],[PD]]&lt;UIoptions!$T$11),1,0)</f>
        <v>0</v>
      </c>
      <c r="BD200" s="38">
        <f>IF(AND(UIoptions!$P$14&lt;=PCdb[[#This Row],[PL (MAX)]],UIoptions!$P$14&gt;UIoptions!$S$14),1,0)</f>
        <v>1</v>
      </c>
      <c r="BE200" s="38">
        <f>IF(AND(PCdb[[#This Row],[SD]]&gt;UIoptions!$S$12,PCdb[[#This Row],[SD]]&lt;UIoptions!$T$12),1,0)</f>
        <v>0</v>
      </c>
      <c r="BF200" s="38">
        <f>IF(AND(PCdb[[#This Row],[SL]]&gt;UIoptions!$S$13,PCdb[[#This Row],[SL]]&lt;UIoptions!$T$13),1,0)</f>
        <v>0</v>
      </c>
      <c r="BG200" s="38">
        <f>IF(UIoptions!$N$35=1,IF(AND(PCdb[[#This Row],[SQ_SZ]]&gt;UIoptions!$S$15,PCdb[[#This Row],[SQ_SZ]]&lt;UIoptions!$T$15),1,0),1)</f>
        <v>0</v>
      </c>
      <c r="BH200" s="38">
        <f>IF(UIoptions!$N$35=2,IF(AND(PCdb[[#This Row],[ROUND_D]]&gt;UIoptions!$S$15,PCdb[[#This Row],[ROUND_D]]&lt;UIoptions!$T$15),1,0),1)</f>
        <v>1</v>
      </c>
      <c r="BI200" s="38">
        <f>IF(UIoptions!$N$75&lt;&gt;1,1,IF(AND(PCdb[[#This Row],[FL]]&gt;UIoptions!$S$16,PCdb[[#This Row],[FL]]&lt;UIoptions!$T$16),1,0))</f>
        <v>0</v>
      </c>
      <c r="BJ200" s="38" t="e">
        <f>IF(OR(UIoptions!$Q$18=PCdb[[#This Row],[THRU_SCREW]],UIoptions!$Q$18="NA"),1,0)</f>
        <v>#N/A</v>
      </c>
      <c r="BK200" s="38">
        <f>IF(OR(UIoptions!$P$19=PCdb[[#This Row],[THREAD_SZ]],UIoptions!$P$19="NA"),1,0)</f>
        <v>1</v>
      </c>
      <c r="BL200" s="38">
        <f>IF(UIoptions!$N$75=1,1,IF(AND(PCdb[[#This Row],[THREAD_L]]&gt;UIoptions!$S$17,PCdb[[#This Row],[THREAD_L]]&lt;UIoptions!$T$17),1,0))</f>
        <v>1</v>
      </c>
      <c r="BM200" s="38" t="e">
        <f>IF(SUM(PCdb[[#This Row],[BDhit]:[THREAD_Lhit]])=11,1,0)</f>
        <v>#N/A</v>
      </c>
      <c r="BN20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50356.5132642NA4M3NANA4</v>
      </c>
      <c r="BO200" s="38" t="e">
        <f>SUM(PCdb[[#This Row],[BDhit]:[THREAD_Lhit]])</f>
        <v>#N/A</v>
      </c>
    </row>
    <row r="201" spans="1:67" x14ac:dyDescent="0.25">
      <c r="A201" s="7">
        <v>205</v>
      </c>
      <c r="B201" s="93">
        <v>43.8</v>
      </c>
      <c r="C201" s="93">
        <v>22</v>
      </c>
      <c r="D201" s="93">
        <v>4</v>
      </c>
      <c r="E201" s="93">
        <v>5</v>
      </c>
      <c r="F201" s="93">
        <v>20</v>
      </c>
      <c r="G201" s="93">
        <v>42.7</v>
      </c>
      <c r="H201" s="93" t="s">
        <v>87</v>
      </c>
      <c r="I201" s="93" t="s">
        <v>87</v>
      </c>
      <c r="J201" s="93" t="s">
        <v>87</v>
      </c>
      <c r="K201" s="93" t="s">
        <v>105</v>
      </c>
      <c r="L201" s="93">
        <v>4.5</v>
      </c>
      <c r="M201" s="93">
        <v>4</v>
      </c>
      <c r="N201" s="38">
        <v>4</v>
      </c>
      <c r="O201" s="38"/>
      <c r="P201" s="38"/>
      <c r="Q201" s="38"/>
      <c r="R201" s="38"/>
      <c r="S201" s="38"/>
      <c r="T201" s="38"/>
      <c r="U201" s="38"/>
      <c r="V201" s="38">
        <v>45.2</v>
      </c>
      <c r="W201" s="38" t="s">
        <v>87</v>
      </c>
      <c r="X201" s="38" t="s">
        <v>87</v>
      </c>
      <c r="Y201" s="38" t="s">
        <v>130</v>
      </c>
      <c r="Z201" s="38" t="s">
        <v>279</v>
      </c>
      <c r="AA201" s="38">
        <v>45</v>
      </c>
      <c r="AB201" s="38">
        <v>90</v>
      </c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>
        <f>IF(AND(PCdb[[#This Row],[BCD]]&gt;UIoptions!$S$10,PCdb[[#This Row],[BCD]]&lt;UIoptions!$T$10),1,0)</f>
        <v>0</v>
      </c>
      <c r="BC201" s="38">
        <f>IF(AND(PCdb[[#This Row],[PD]]&gt;UIoptions!$S$11,PCdb[[#This Row],[PD]]&lt;UIoptions!$T$11),1,0)</f>
        <v>0</v>
      </c>
      <c r="BD201" s="38">
        <f>IF(AND(UIoptions!$P$14&lt;=PCdb[[#This Row],[PL (MAX)]],UIoptions!$P$14&gt;UIoptions!$S$14),1,0)</f>
        <v>1</v>
      </c>
      <c r="BE201" s="38">
        <f>IF(AND(PCdb[[#This Row],[SD]]&gt;UIoptions!$S$12,PCdb[[#This Row],[SD]]&lt;UIoptions!$T$12),1,0)</f>
        <v>0</v>
      </c>
      <c r="BF201" s="38">
        <f>IF(AND(PCdb[[#This Row],[SL]]&gt;UIoptions!$S$13,PCdb[[#This Row],[SL]]&lt;UIoptions!$T$13),1,0)</f>
        <v>0</v>
      </c>
      <c r="BG201" s="38">
        <f>IF(UIoptions!$N$35=1,IF(AND(PCdb[[#This Row],[SQ_SZ]]&gt;UIoptions!$S$15,PCdb[[#This Row],[SQ_SZ]]&lt;UIoptions!$T$15),1,0),1)</f>
        <v>0</v>
      </c>
      <c r="BH201" s="38">
        <f>IF(UIoptions!$N$35=2,IF(AND(PCdb[[#This Row],[ROUND_D]]&gt;UIoptions!$S$15,PCdb[[#This Row],[ROUND_D]]&lt;UIoptions!$T$15),1,0),1)</f>
        <v>1</v>
      </c>
      <c r="BI201" s="38">
        <f>IF(UIoptions!$N$75&lt;&gt;1,1,IF(AND(PCdb[[#This Row],[FL]]&gt;UIoptions!$S$16,PCdb[[#This Row],[FL]]&lt;UIoptions!$T$16),1,0))</f>
        <v>0</v>
      </c>
      <c r="BJ201" s="38" t="e">
        <f>IF(OR(UIoptions!$Q$18=PCdb[[#This Row],[THRU_SCREW]],UIoptions!$Q$18="NA"),1,0)</f>
        <v>#N/A</v>
      </c>
      <c r="BK201" s="38">
        <f>IF(OR(UIoptions!$P$19=PCdb[[#This Row],[THREAD_SZ]],UIoptions!$P$19="NA"),1,0)</f>
        <v>1</v>
      </c>
      <c r="BL201" s="38">
        <f>IF(UIoptions!$N$75=1,1,IF(AND(PCdb[[#This Row],[THREAD_L]]&gt;UIoptions!$S$17,PCdb[[#This Row],[THREAD_L]]&lt;UIoptions!$T$17),1,0))</f>
        <v>1</v>
      </c>
      <c r="BM201" s="38" t="e">
        <f>IF(SUM(PCdb[[#This Row],[BDhit]:[THREAD_Lhit]])=11,1,0)</f>
        <v>#N/A</v>
      </c>
      <c r="BN20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43.822452042.7NANANAM34.54</v>
      </c>
      <c r="BO201" s="38" t="e">
        <f>SUM(PCdb[[#This Row],[BDhit]:[THREAD_Lhit]])</f>
        <v>#N/A</v>
      </c>
    </row>
    <row r="202" spans="1:67" x14ac:dyDescent="0.25">
      <c r="A202" s="7">
        <v>206</v>
      </c>
      <c r="B202" s="93">
        <v>66.7</v>
      </c>
      <c r="C202" s="93">
        <v>38.1</v>
      </c>
      <c r="D202" s="93">
        <v>4</v>
      </c>
      <c r="E202" s="93">
        <v>6.35</v>
      </c>
      <c r="F202" s="93">
        <v>21</v>
      </c>
      <c r="G202" s="93">
        <v>56.4</v>
      </c>
      <c r="H202" s="93" t="s">
        <v>87</v>
      </c>
      <c r="I202" s="93">
        <v>5</v>
      </c>
      <c r="J202" s="93" t="s">
        <v>7</v>
      </c>
      <c r="K202" s="93" t="s">
        <v>87</v>
      </c>
      <c r="L202" s="93" t="s">
        <v>87</v>
      </c>
      <c r="M202" s="93">
        <v>4</v>
      </c>
      <c r="N202" s="38" t="s">
        <v>7</v>
      </c>
      <c r="O202" s="25">
        <v>38.700000000000003</v>
      </c>
      <c r="P202" s="38">
        <v>22</v>
      </c>
      <c r="Q202" s="38" t="s">
        <v>87</v>
      </c>
      <c r="R202" s="38" t="s">
        <v>130</v>
      </c>
      <c r="S202" s="38" t="s">
        <v>172</v>
      </c>
      <c r="T202" s="38">
        <v>45</v>
      </c>
      <c r="U202" s="38">
        <v>90</v>
      </c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>
        <v>23</v>
      </c>
      <c r="AQ202" s="38" t="s">
        <v>87</v>
      </c>
      <c r="AR202" s="38" t="s">
        <v>130</v>
      </c>
      <c r="AS202" s="38" t="s">
        <v>176</v>
      </c>
      <c r="AT202" s="38">
        <v>45</v>
      </c>
      <c r="AU202" s="38">
        <v>90</v>
      </c>
      <c r="AV202" s="38"/>
      <c r="AW202" s="38"/>
      <c r="AX202" s="38"/>
      <c r="AY202" s="38"/>
      <c r="AZ202" s="38"/>
      <c r="BA202" s="38"/>
      <c r="BB202" s="38">
        <f>IF(AND(PCdb[[#This Row],[BCD]]&gt;UIoptions!$S$10,PCdb[[#This Row],[BCD]]&lt;UIoptions!$T$10),1,0)</f>
        <v>0</v>
      </c>
      <c r="BC202" s="38">
        <f>IF(AND(PCdb[[#This Row],[PD]]&gt;UIoptions!$S$11,PCdb[[#This Row],[PD]]&lt;UIoptions!$T$11),1,0)</f>
        <v>0</v>
      </c>
      <c r="BD202" s="38">
        <f>IF(AND(UIoptions!$P$14&lt;=PCdb[[#This Row],[PL (MAX)]],UIoptions!$P$14&gt;UIoptions!$S$14),1,0)</f>
        <v>1</v>
      </c>
      <c r="BE202" s="38">
        <f>IF(AND(PCdb[[#This Row],[SD]]&gt;UIoptions!$S$12,PCdb[[#This Row],[SD]]&lt;UIoptions!$T$12),1,0)</f>
        <v>0</v>
      </c>
      <c r="BF202" s="38">
        <f>IF(AND(PCdb[[#This Row],[SL]]&gt;UIoptions!$S$13,PCdb[[#This Row],[SL]]&lt;UIoptions!$T$13),1,0)</f>
        <v>0</v>
      </c>
      <c r="BG202" s="38">
        <f>IF(UIoptions!$N$35=1,IF(AND(PCdb[[#This Row],[SQ_SZ]]&gt;UIoptions!$S$15,PCdb[[#This Row],[SQ_SZ]]&lt;UIoptions!$T$15),1,0),1)</f>
        <v>0</v>
      </c>
      <c r="BH202" s="38">
        <f>IF(UIoptions!$N$35=2,IF(AND(PCdb[[#This Row],[ROUND_D]]&gt;UIoptions!$S$15,PCdb[[#This Row],[ROUND_D]]&lt;UIoptions!$T$15),1,0),1)</f>
        <v>1</v>
      </c>
      <c r="BI202" s="38">
        <f>IF(UIoptions!$N$75&lt;&gt;1,1,IF(AND(PCdb[[#This Row],[FL]]&gt;UIoptions!$S$16,PCdb[[#This Row],[FL]]&lt;UIoptions!$T$16),1,0))</f>
        <v>0</v>
      </c>
      <c r="BJ202" s="38" t="e">
        <f>IF(OR(UIoptions!$Q$18=PCdb[[#This Row],[THRU_SCREW]],UIoptions!$Q$18="NA"),1,0)</f>
        <v>#N/A</v>
      </c>
      <c r="BK202" s="38">
        <f>IF(OR(UIoptions!$P$19=PCdb[[#This Row],[THREAD_SZ]],UIoptions!$P$19="NA"),1,0)</f>
        <v>1</v>
      </c>
      <c r="BL202" s="38">
        <f>IF(UIoptions!$N$75=1,1,IF(AND(PCdb[[#This Row],[THREAD_L]]&gt;UIoptions!$S$17,PCdb[[#This Row],[THREAD_L]]&lt;UIoptions!$T$17),1,0))</f>
        <v>1</v>
      </c>
      <c r="BM202" s="38" t="e">
        <f>IF(SUM(PCdb[[#This Row],[BDhit]:[THREAD_Lhit]])=11,1,0)</f>
        <v>#N/A</v>
      </c>
      <c r="BN20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66.738.146.352156.4NA5M4NANA4</v>
      </c>
      <c r="BO202" s="38" t="e">
        <f>SUM(PCdb[[#This Row],[BDhit]:[THREAD_Lhit]])</f>
        <v>#N/A</v>
      </c>
    </row>
    <row r="203" spans="1:67" x14ac:dyDescent="0.25">
      <c r="A203" s="7">
        <v>207</v>
      </c>
      <c r="B203" s="93">
        <v>63</v>
      </c>
      <c r="C203" s="93">
        <v>40</v>
      </c>
      <c r="D203" s="93">
        <v>4</v>
      </c>
      <c r="E203" s="93">
        <v>9</v>
      </c>
      <c r="F203" s="93">
        <v>19.7</v>
      </c>
      <c r="G203" s="93">
        <v>55</v>
      </c>
      <c r="H203" s="93" t="s">
        <v>87</v>
      </c>
      <c r="I203" s="93">
        <v>9</v>
      </c>
      <c r="J203" s="93" t="s">
        <v>45</v>
      </c>
      <c r="K203" s="93" t="s">
        <v>87</v>
      </c>
      <c r="L203" s="93" t="s">
        <v>87</v>
      </c>
      <c r="M203" s="93">
        <v>4</v>
      </c>
      <c r="N203" s="38" t="s">
        <v>45</v>
      </c>
      <c r="O203" s="25">
        <v>38.700000000000003</v>
      </c>
      <c r="P203" s="38">
        <v>23</v>
      </c>
      <c r="Q203" s="38" t="s">
        <v>87</v>
      </c>
      <c r="R203" s="38" t="s">
        <v>130</v>
      </c>
      <c r="S203" s="38" t="s">
        <v>172</v>
      </c>
      <c r="T203" s="38">
        <v>45</v>
      </c>
      <c r="U203" s="38">
        <v>90</v>
      </c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>
        <v>23</v>
      </c>
      <c r="AK203" s="38" t="s">
        <v>87</v>
      </c>
      <c r="AL203" s="38" t="s">
        <v>130</v>
      </c>
      <c r="AM203" s="38" t="s">
        <v>177</v>
      </c>
      <c r="AN203" s="38">
        <v>45</v>
      </c>
      <c r="AO203" s="38">
        <v>90</v>
      </c>
      <c r="AP203" s="38"/>
      <c r="AQ203" s="38"/>
      <c r="AR203" s="38"/>
      <c r="AS203" s="38"/>
      <c r="AT203" s="38"/>
      <c r="AU203" s="38"/>
      <c r="AV203" s="38">
        <v>24</v>
      </c>
      <c r="AW203" s="38" t="s">
        <v>87</v>
      </c>
      <c r="AX203" s="38" t="s">
        <v>130</v>
      </c>
      <c r="AY203" s="38" t="s">
        <v>176</v>
      </c>
      <c r="AZ203" s="38">
        <v>45</v>
      </c>
      <c r="BA203" s="38">
        <v>90</v>
      </c>
      <c r="BB203" s="38">
        <f>IF(AND(PCdb[[#This Row],[BCD]]&gt;UIoptions!$S$10,PCdb[[#This Row],[BCD]]&lt;UIoptions!$T$10),1,0)</f>
        <v>0</v>
      </c>
      <c r="BC203" s="38">
        <f>IF(AND(PCdb[[#This Row],[PD]]&gt;UIoptions!$S$11,PCdb[[#This Row],[PD]]&lt;UIoptions!$T$11),1,0)</f>
        <v>0</v>
      </c>
      <c r="BD203" s="38">
        <f>IF(AND(UIoptions!$P$14&lt;=PCdb[[#This Row],[PL (MAX)]],UIoptions!$P$14&gt;UIoptions!$S$14),1,0)</f>
        <v>1</v>
      </c>
      <c r="BE203" s="38">
        <f>IF(AND(PCdb[[#This Row],[SD]]&gt;UIoptions!$S$12,PCdb[[#This Row],[SD]]&lt;UIoptions!$T$12),1,0)</f>
        <v>0</v>
      </c>
      <c r="BF203" s="38">
        <f>IF(AND(PCdb[[#This Row],[SL]]&gt;UIoptions!$S$13,PCdb[[#This Row],[SL]]&lt;UIoptions!$T$13),1,0)</f>
        <v>0</v>
      </c>
      <c r="BG203" s="38">
        <f>IF(UIoptions!$N$35=1,IF(AND(PCdb[[#This Row],[SQ_SZ]]&gt;UIoptions!$S$15,PCdb[[#This Row],[SQ_SZ]]&lt;UIoptions!$T$15),1,0),1)</f>
        <v>0</v>
      </c>
      <c r="BH203" s="38">
        <f>IF(UIoptions!$N$35=2,IF(AND(PCdb[[#This Row],[ROUND_D]]&gt;UIoptions!$S$15,PCdb[[#This Row],[ROUND_D]]&lt;UIoptions!$T$15),1,0),1)</f>
        <v>1</v>
      </c>
      <c r="BI203" s="38">
        <f>IF(UIoptions!$N$75&lt;&gt;1,1,IF(AND(PCdb[[#This Row],[FL]]&gt;UIoptions!$S$16,PCdb[[#This Row],[FL]]&lt;UIoptions!$T$16),1,0))</f>
        <v>0</v>
      </c>
      <c r="BJ203" s="38" t="e">
        <f>IF(OR(UIoptions!$Q$18=PCdb[[#This Row],[THRU_SCREW]],UIoptions!$Q$18="NA"),1,0)</f>
        <v>#N/A</v>
      </c>
      <c r="BK203" s="38">
        <f>IF(OR(UIoptions!$P$19=PCdb[[#This Row],[THREAD_SZ]],UIoptions!$P$19="NA"),1,0)</f>
        <v>1</v>
      </c>
      <c r="BL203" s="38">
        <f>IF(UIoptions!$N$75=1,1,IF(AND(PCdb[[#This Row],[THREAD_L]]&gt;UIoptions!$S$17,PCdb[[#This Row],[THREAD_L]]&lt;UIoptions!$T$17),1,0))</f>
        <v>1</v>
      </c>
      <c r="BM203" s="38" t="e">
        <f>IF(SUM(PCdb[[#This Row],[BDhit]:[THREAD_Lhit]])=11,1,0)</f>
        <v>#N/A</v>
      </c>
      <c r="BN20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63404919.755NA9M5NANA4</v>
      </c>
      <c r="BO203" s="38" t="e">
        <f>SUM(PCdb[[#This Row],[BDhit]:[THREAD_Lhit]])</f>
        <v>#N/A</v>
      </c>
    </row>
    <row r="204" spans="1:67" x14ac:dyDescent="0.25">
      <c r="A204" s="7">
        <v>208</v>
      </c>
      <c r="B204" s="93">
        <v>63</v>
      </c>
      <c r="C204" s="93">
        <v>50</v>
      </c>
      <c r="D204" s="93">
        <v>4</v>
      </c>
      <c r="E204" s="93">
        <v>12</v>
      </c>
      <c r="F204" s="93">
        <v>22</v>
      </c>
      <c r="G204" s="93">
        <v>55</v>
      </c>
      <c r="H204" s="93" t="s">
        <v>87</v>
      </c>
      <c r="I204" s="93">
        <v>17</v>
      </c>
      <c r="J204" s="93" t="s">
        <v>45</v>
      </c>
      <c r="K204" s="93" t="s">
        <v>87</v>
      </c>
      <c r="L204" s="93" t="s">
        <v>87</v>
      </c>
      <c r="M204" s="93">
        <v>4</v>
      </c>
      <c r="N204" s="38" t="s">
        <v>45</v>
      </c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>
        <v>26</v>
      </c>
      <c r="AQ204" s="38" t="s">
        <v>87</v>
      </c>
      <c r="AR204" s="38" t="s">
        <v>130</v>
      </c>
      <c r="AS204" s="38" t="s">
        <v>176</v>
      </c>
      <c r="AT204" s="38">
        <v>45</v>
      </c>
      <c r="AU204" s="38">
        <v>90</v>
      </c>
      <c r="AV204" s="38"/>
      <c r="AW204" s="38"/>
      <c r="AX204" s="38"/>
      <c r="AY204" s="38"/>
      <c r="AZ204" s="38"/>
      <c r="BA204" s="38"/>
      <c r="BB204" s="38">
        <f>IF(AND(PCdb[[#This Row],[BCD]]&gt;UIoptions!$S$10,PCdb[[#This Row],[BCD]]&lt;UIoptions!$T$10),1,0)</f>
        <v>0</v>
      </c>
      <c r="BC204" s="38">
        <f>IF(AND(PCdb[[#This Row],[PD]]&gt;UIoptions!$S$11,PCdb[[#This Row],[PD]]&lt;UIoptions!$T$11),1,0)</f>
        <v>0</v>
      </c>
      <c r="BD204" s="38">
        <f>IF(AND(UIoptions!$P$14&lt;=PCdb[[#This Row],[PL (MAX)]],UIoptions!$P$14&gt;UIoptions!$S$14),1,0)</f>
        <v>1</v>
      </c>
      <c r="BE204" s="38">
        <f>IF(AND(PCdb[[#This Row],[SD]]&gt;UIoptions!$S$12,PCdb[[#This Row],[SD]]&lt;UIoptions!$T$12),1,0)</f>
        <v>0</v>
      </c>
      <c r="BF204" s="38">
        <f>IF(AND(PCdb[[#This Row],[SL]]&gt;UIoptions!$S$13,PCdb[[#This Row],[SL]]&lt;UIoptions!$T$13),1,0)</f>
        <v>0</v>
      </c>
      <c r="BG204" s="38">
        <f>IF(UIoptions!$N$35=1,IF(AND(PCdb[[#This Row],[SQ_SZ]]&gt;UIoptions!$S$15,PCdb[[#This Row],[SQ_SZ]]&lt;UIoptions!$T$15),1,0),1)</f>
        <v>0</v>
      </c>
      <c r="BH204" s="38">
        <f>IF(UIoptions!$N$35=2,IF(AND(PCdb[[#This Row],[ROUND_D]]&gt;UIoptions!$S$15,PCdb[[#This Row],[ROUND_D]]&lt;UIoptions!$T$15),1,0),1)</f>
        <v>1</v>
      </c>
      <c r="BI204" s="38">
        <f>IF(UIoptions!$N$75&lt;&gt;1,1,IF(AND(PCdb[[#This Row],[FL]]&gt;UIoptions!$S$16,PCdb[[#This Row],[FL]]&lt;UIoptions!$T$16),1,0))</f>
        <v>0</v>
      </c>
      <c r="BJ204" s="38" t="e">
        <f>IF(OR(UIoptions!$Q$18=PCdb[[#This Row],[THRU_SCREW]],UIoptions!$Q$18="NA"),1,0)</f>
        <v>#N/A</v>
      </c>
      <c r="BK204" s="38">
        <f>IF(OR(UIoptions!$P$19=PCdb[[#This Row],[THREAD_SZ]],UIoptions!$P$19="NA"),1,0)</f>
        <v>1</v>
      </c>
      <c r="BL204" s="38">
        <f>IF(UIoptions!$N$75=1,1,IF(AND(PCdb[[#This Row],[THREAD_L]]&gt;UIoptions!$S$17,PCdb[[#This Row],[THREAD_L]]&lt;UIoptions!$T$17),1,0))</f>
        <v>1</v>
      </c>
      <c r="BM204" s="38" t="e">
        <f>IF(SUM(PCdb[[#This Row],[BDhit]:[THREAD_Lhit]])=11,1,0)</f>
        <v>#N/A</v>
      </c>
      <c r="BN20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63504122255NA17M5NANA4</v>
      </c>
      <c r="BO204" s="38" t="e">
        <f>SUM(PCdb[[#This Row],[BDhit]:[THREAD_Lhit]])</f>
        <v>#N/A</v>
      </c>
    </row>
    <row r="205" spans="1:67" x14ac:dyDescent="0.25">
      <c r="A205" s="7">
        <v>209</v>
      </c>
      <c r="B205" s="93">
        <v>90</v>
      </c>
      <c r="C205" s="93">
        <v>70</v>
      </c>
      <c r="D205" s="93">
        <v>4</v>
      </c>
      <c r="E205" s="93">
        <v>19</v>
      </c>
      <c r="F205" s="93">
        <v>35</v>
      </c>
      <c r="G205" s="93">
        <v>55</v>
      </c>
      <c r="H205" s="93" t="s">
        <v>87</v>
      </c>
      <c r="I205" s="93">
        <v>17</v>
      </c>
      <c r="J205" s="93" t="s">
        <v>45</v>
      </c>
      <c r="K205" s="93" t="s">
        <v>87</v>
      </c>
      <c r="L205" s="93" t="s">
        <v>87</v>
      </c>
      <c r="M205" s="93">
        <v>4</v>
      </c>
      <c r="N205" s="38" t="s">
        <v>45</v>
      </c>
      <c r="O205" s="38"/>
      <c r="P205" s="38"/>
      <c r="Q205" s="38"/>
      <c r="R205" s="38"/>
      <c r="S205" s="38"/>
      <c r="T205" s="38"/>
      <c r="U205" s="38"/>
      <c r="V205" s="25">
        <v>45.2</v>
      </c>
      <c r="W205" s="38">
        <v>37</v>
      </c>
      <c r="X205" s="38" t="s">
        <v>87</v>
      </c>
      <c r="Y205" s="38" t="s">
        <v>130</v>
      </c>
      <c r="Z205" s="38" t="s">
        <v>172</v>
      </c>
      <c r="AA205" s="38">
        <v>45</v>
      </c>
      <c r="AB205" s="38">
        <v>90</v>
      </c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>
        <f>IF(AND(PCdb[[#This Row],[BCD]]&gt;UIoptions!$S$10,PCdb[[#This Row],[BCD]]&lt;UIoptions!$T$10),1,0)</f>
        <v>0</v>
      </c>
      <c r="BC205" s="38">
        <f>IF(AND(PCdb[[#This Row],[PD]]&gt;UIoptions!$S$11,PCdb[[#This Row],[PD]]&lt;UIoptions!$T$11),1,0)</f>
        <v>0</v>
      </c>
      <c r="BD205" s="38">
        <f>IF(AND(UIoptions!$P$14&lt;=PCdb[[#This Row],[PL (MAX)]],UIoptions!$P$14&gt;UIoptions!$S$14),1,0)</f>
        <v>1</v>
      </c>
      <c r="BE205" s="38">
        <f>IF(AND(PCdb[[#This Row],[SD]]&gt;UIoptions!$S$12,PCdb[[#This Row],[SD]]&lt;UIoptions!$T$12),1,0)</f>
        <v>0</v>
      </c>
      <c r="BF205" s="38">
        <f>IF(AND(PCdb[[#This Row],[SL]]&gt;UIoptions!$S$13,PCdb[[#This Row],[SL]]&lt;UIoptions!$T$13),1,0)</f>
        <v>0</v>
      </c>
      <c r="BG205" s="38">
        <f>IF(UIoptions!$N$35=1,IF(AND(PCdb[[#This Row],[SQ_SZ]]&gt;UIoptions!$S$15,PCdb[[#This Row],[SQ_SZ]]&lt;UIoptions!$T$15),1,0),1)</f>
        <v>0</v>
      </c>
      <c r="BH205" s="38">
        <f>IF(UIoptions!$N$35=2,IF(AND(PCdb[[#This Row],[ROUND_D]]&gt;UIoptions!$S$15,PCdb[[#This Row],[ROUND_D]]&lt;UIoptions!$T$15),1,0),1)</f>
        <v>1</v>
      </c>
      <c r="BI205" s="38">
        <f>IF(UIoptions!$N$75&lt;&gt;1,1,IF(AND(PCdb[[#This Row],[FL]]&gt;UIoptions!$S$16,PCdb[[#This Row],[FL]]&lt;UIoptions!$T$16),1,0))</f>
        <v>0</v>
      </c>
      <c r="BJ205" s="38" t="e">
        <f>IF(OR(UIoptions!$Q$18=PCdb[[#This Row],[THRU_SCREW]],UIoptions!$Q$18="NA"),1,0)</f>
        <v>#N/A</v>
      </c>
      <c r="BK205" s="38">
        <f>IF(OR(UIoptions!$P$19=PCdb[[#This Row],[THREAD_SZ]],UIoptions!$P$19="NA"),1,0)</f>
        <v>1</v>
      </c>
      <c r="BL205" s="38">
        <f>IF(UIoptions!$N$75=1,1,IF(AND(PCdb[[#This Row],[THREAD_L]]&gt;UIoptions!$S$17,PCdb[[#This Row],[THREAD_L]]&lt;UIoptions!$T$17),1,0))</f>
        <v>1</v>
      </c>
      <c r="BM205" s="38" t="e">
        <f>IF(SUM(PCdb[[#This Row],[BDhit]:[THREAD_Lhit]])=11,1,0)</f>
        <v>#N/A</v>
      </c>
      <c r="BN20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90704193555NA17M5NANA4</v>
      </c>
      <c r="BO205" s="38" t="e">
        <f>SUM(PCdb[[#This Row],[BDhit]:[THREAD_Lhit]])</f>
        <v>#N/A</v>
      </c>
    </row>
    <row r="206" spans="1:67" x14ac:dyDescent="0.25">
      <c r="A206" s="7">
        <v>210</v>
      </c>
      <c r="B206" s="93">
        <v>45</v>
      </c>
      <c r="C206" s="93">
        <v>32</v>
      </c>
      <c r="D206" s="93">
        <v>4</v>
      </c>
      <c r="E206" s="93">
        <v>8</v>
      </c>
      <c r="F206" s="93">
        <v>25</v>
      </c>
      <c r="G206" s="93">
        <v>65</v>
      </c>
      <c r="H206" s="93" t="s">
        <v>87</v>
      </c>
      <c r="I206" s="93" t="s">
        <v>87</v>
      </c>
      <c r="J206" s="93" t="s">
        <v>87</v>
      </c>
      <c r="K206" s="93" t="s">
        <v>45</v>
      </c>
      <c r="L206" s="93">
        <v>7</v>
      </c>
      <c r="M206" s="93">
        <v>4</v>
      </c>
      <c r="N206" s="38">
        <v>6</v>
      </c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 t="s">
        <v>87</v>
      </c>
      <c r="AK206" s="38" t="s">
        <v>87</v>
      </c>
      <c r="AL206" s="38" t="s">
        <v>130</v>
      </c>
      <c r="AM206" s="38" t="s">
        <v>643</v>
      </c>
      <c r="AN206" s="38">
        <v>45</v>
      </c>
      <c r="AO206" s="38">
        <v>90</v>
      </c>
      <c r="AP206" s="38" t="s">
        <v>87</v>
      </c>
      <c r="AQ206" s="38" t="s">
        <v>87</v>
      </c>
      <c r="AR206" s="38" t="s">
        <v>130</v>
      </c>
      <c r="AS206" s="38" t="s">
        <v>281</v>
      </c>
      <c r="AT206" s="38">
        <v>45</v>
      </c>
      <c r="AU206" s="38">
        <v>90</v>
      </c>
      <c r="AV206" s="38"/>
      <c r="AW206" s="38"/>
      <c r="AX206" s="38"/>
      <c r="AY206" s="38"/>
      <c r="AZ206" s="38"/>
      <c r="BA206" s="38"/>
      <c r="BB206" s="38">
        <f>IF(AND(PCdb[[#This Row],[BCD]]&gt;UIoptions!$S$10,PCdb[[#This Row],[BCD]]&lt;UIoptions!$T$10),1,0)</f>
        <v>0</v>
      </c>
      <c r="BC206" s="38">
        <f>IF(AND(PCdb[[#This Row],[PD]]&gt;UIoptions!$S$11,PCdb[[#This Row],[PD]]&lt;UIoptions!$T$11),1,0)</f>
        <v>0</v>
      </c>
      <c r="BD206" s="38">
        <f>IF(AND(UIoptions!$P$14&lt;=PCdb[[#This Row],[PL (MAX)]],UIoptions!$P$14&gt;UIoptions!$S$14),1,0)</f>
        <v>1</v>
      </c>
      <c r="BE206" s="38">
        <f>IF(AND(PCdb[[#This Row],[SD]]&gt;UIoptions!$S$12,PCdb[[#This Row],[SD]]&lt;UIoptions!$T$12),1,0)</f>
        <v>0</v>
      </c>
      <c r="BF206" s="38">
        <f>IF(AND(PCdb[[#This Row],[SL]]&gt;UIoptions!$S$13,PCdb[[#This Row],[SL]]&lt;UIoptions!$T$13),1,0)</f>
        <v>0</v>
      </c>
      <c r="BG206" s="38">
        <f>IF(UIoptions!$N$35=1,IF(AND(PCdb[[#This Row],[SQ_SZ]]&gt;UIoptions!$S$15,PCdb[[#This Row],[SQ_SZ]]&lt;UIoptions!$T$15),1,0),1)</f>
        <v>0</v>
      </c>
      <c r="BH206" s="38">
        <f>IF(UIoptions!$N$35=2,IF(AND(PCdb[[#This Row],[ROUND_D]]&gt;UIoptions!$S$15,PCdb[[#This Row],[ROUND_D]]&lt;UIoptions!$T$15),1,0),1)</f>
        <v>1</v>
      </c>
      <c r="BI206" s="38">
        <f>IF(UIoptions!$N$75&lt;&gt;1,1,IF(AND(PCdb[[#This Row],[FL]]&gt;UIoptions!$S$16,PCdb[[#This Row],[FL]]&lt;UIoptions!$T$16),1,0))</f>
        <v>0</v>
      </c>
      <c r="BJ206" s="38" t="e">
        <f>IF(OR(UIoptions!$Q$18=PCdb[[#This Row],[THRU_SCREW]],UIoptions!$Q$18="NA"),1,0)</f>
        <v>#N/A</v>
      </c>
      <c r="BK206" s="38">
        <f>IF(OR(UIoptions!$P$19=PCdb[[#This Row],[THREAD_SZ]],UIoptions!$P$19="NA"),1,0)</f>
        <v>1</v>
      </c>
      <c r="BL206" s="38">
        <f>IF(UIoptions!$N$75=1,1,IF(AND(PCdb[[#This Row],[THREAD_L]]&gt;UIoptions!$S$17,PCdb[[#This Row],[THREAD_L]]&lt;UIoptions!$T$17),1,0))</f>
        <v>1</v>
      </c>
      <c r="BM206" s="38" t="e">
        <f>IF(SUM(PCdb[[#This Row],[BDhit]:[THREAD_Lhit]])=11,1,0)</f>
        <v>#N/A</v>
      </c>
      <c r="BN20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4532482565NANANAM574</v>
      </c>
      <c r="BO206" s="38" t="e">
        <f>SUM(PCdb[[#This Row],[BDhit]:[THREAD_Lhit]])</f>
        <v>#N/A</v>
      </c>
    </row>
    <row r="207" spans="1:67" x14ac:dyDescent="0.25">
      <c r="A207" s="7">
        <v>211</v>
      </c>
      <c r="B207" s="93">
        <v>100</v>
      </c>
      <c r="C207" s="93">
        <v>80</v>
      </c>
      <c r="D207" s="93">
        <v>4</v>
      </c>
      <c r="E207" s="93">
        <v>19</v>
      </c>
      <c r="F207" s="93">
        <v>40</v>
      </c>
      <c r="G207" s="93">
        <v>87</v>
      </c>
      <c r="H207" s="93" t="s">
        <v>87</v>
      </c>
      <c r="I207" s="93">
        <v>8</v>
      </c>
      <c r="J207" s="93" t="s">
        <v>49</v>
      </c>
      <c r="K207" s="93" t="s">
        <v>87</v>
      </c>
      <c r="L207" s="93" t="s">
        <v>87</v>
      </c>
      <c r="M207" s="93">
        <v>4</v>
      </c>
      <c r="N207" s="38" t="s">
        <v>49</v>
      </c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25">
        <v>45.2</v>
      </c>
      <c r="AD207" s="38">
        <v>41.5</v>
      </c>
      <c r="AE207" s="38" t="s">
        <v>87</v>
      </c>
      <c r="AF207" s="38" t="s">
        <v>130</v>
      </c>
      <c r="AG207" s="38" t="s">
        <v>172</v>
      </c>
      <c r="AH207" s="38">
        <v>45</v>
      </c>
      <c r="AI207" s="38">
        <v>90</v>
      </c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>
        <f>IF(AND(PCdb[[#This Row],[BCD]]&gt;UIoptions!$S$10,PCdb[[#This Row],[BCD]]&lt;UIoptions!$T$10),1,0)</f>
        <v>0</v>
      </c>
      <c r="BC207" s="38">
        <f>IF(AND(PCdb[[#This Row],[PD]]&gt;UIoptions!$S$11,PCdb[[#This Row],[PD]]&lt;UIoptions!$T$11),1,0)</f>
        <v>0</v>
      </c>
      <c r="BD207" s="38">
        <f>IF(AND(UIoptions!$P$14&lt;=PCdb[[#This Row],[PL (MAX)]],UIoptions!$P$14&gt;UIoptions!$S$14),1,0)</f>
        <v>1</v>
      </c>
      <c r="BE207" s="38">
        <f>IF(AND(PCdb[[#This Row],[SD]]&gt;UIoptions!$S$12,PCdb[[#This Row],[SD]]&lt;UIoptions!$T$12),1,0)</f>
        <v>0</v>
      </c>
      <c r="BF207" s="38">
        <f>IF(AND(PCdb[[#This Row],[SL]]&gt;UIoptions!$S$13,PCdb[[#This Row],[SL]]&lt;UIoptions!$T$13),1,0)</f>
        <v>0</v>
      </c>
      <c r="BG207" s="38">
        <f>IF(UIoptions!$N$35=1,IF(AND(PCdb[[#This Row],[SQ_SZ]]&gt;UIoptions!$S$15,PCdb[[#This Row],[SQ_SZ]]&lt;UIoptions!$T$15),1,0),1)</f>
        <v>0</v>
      </c>
      <c r="BH207" s="38">
        <f>IF(UIoptions!$N$35=2,IF(AND(PCdb[[#This Row],[ROUND_D]]&gt;UIoptions!$S$15,PCdb[[#This Row],[ROUND_D]]&lt;UIoptions!$T$15),1,0),1)</f>
        <v>1</v>
      </c>
      <c r="BI207" s="38">
        <f>IF(UIoptions!$N$75&lt;&gt;1,1,IF(AND(PCdb[[#This Row],[FL]]&gt;UIoptions!$S$16,PCdb[[#This Row],[FL]]&lt;UIoptions!$T$16),1,0))</f>
        <v>0</v>
      </c>
      <c r="BJ207" s="38" t="e">
        <f>IF(OR(UIoptions!$Q$18=PCdb[[#This Row],[THRU_SCREW]],UIoptions!$Q$18="NA"),1,0)</f>
        <v>#N/A</v>
      </c>
      <c r="BK207" s="38">
        <f>IF(OR(UIoptions!$P$19=PCdb[[#This Row],[THREAD_SZ]],UIoptions!$P$19="NA"),1,0)</f>
        <v>1</v>
      </c>
      <c r="BL207" s="38">
        <f>IF(UIoptions!$N$75=1,1,IF(AND(PCdb[[#This Row],[THREAD_L]]&gt;UIoptions!$S$17,PCdb[[#This Row],[THREAD_L]]&lt;UIoptions!$T$17),1,0))</f>
        <v>1</v>
      </c>
      <c r="BM207" s="38" t="e">
        <f>IF(SUM(PCdb[[#This Row],[BDhit]:[THREAD_Lhit]])=11,1,0)</f>
        <v>#N/A</v>
      </c>
      <c r="BN20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100804194087NA8M6NANA4</v>
      </c>
      <c r="BO207" s="38" t="e">
        <f>SUM(PCdb[[#This Row],[BDhit]:[THREAD_Lhit]])</f>
        <v>#N/A</v>
      </c>
    </row>
    <row r="208" spans="1:67" x14ac:dyDescent="0.25">
      <c r="A208" s="7">
        <v>212</v>
      </c>
      <c r="B208" s="93">
        <v>26</v>
      </c>
      <c r="C208" s="93">
        <v>19</v>
      </c>
      <c r="D208" s="93">
        <v>4</v>
      </c>
      <c r="E208" s="93">
        <v>8</v>
      </c>
      <c r="F208" s="93">
        <v>21</v>
      </c>
      <c r="G208" s="93" t="s">
        <v>87</v>
      </c>
      <c r="H208" s="93">
        <v>32.200000000000003</v>
      </c>
      <c r="I208" s="93" t="s">
        <v>87</v>
      </c>
      <c r="J208" s="93" t="s">
        <v>87</v>
      </c>
      <c r="K208" s="93" t="s">
        <v>105</v>
      </c>
      <c r="L208" s="93">
        <v>4</v>
      </c>
      <c r="M208" s="93">
        <v>4</v>
      </c>
      <c r="N208" s="38">
        <v>4</v>
      </c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 t="s">
        <v>87</v>
      </c>
      <c r="AK208" s="38" t="s">
        <v>87</v>
      </c>
      <c r="AL208" s="38" t="s">
        <v>130</v>
      </c>
      <c r="AM208" s="38" t="s">
        <v>280</v>
      </c>
      <c r="AN208" s="38">
        <v>45</v>
      </c>
      <c r="AO208" s="38">
        <v>90</v>
      </c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>
        <f>IF(AND(PCdb[[#This Row],[BCD]]&gt;UIoptions!$S$10,PCdb[[#This Row],[BCD]]&lt;UIoptions!$T$10),1,0)</f>
        <v>0</v>
      </c>
      <c r="BC208" s="38">
        <f>IF(AND(PCdb[[#This Row],[PD]]&gt;UIoptions!$S$11,PCdb[[#This Row],[PD]]&lt;UIoptions!$T$11),1,0)</f>
        <v>0</v>
      </c>
      <c r="BD208" s="38">
        <f>IF(AND(UIoptions!$P$14&lt;=PCdb[[#This Row],[PL (MAX)]],UIoptions!$P$14&gt;UIoptions!$S$14),1,0)</f>
        <v>1</v>
      </c>
      <c r="BE208" s="38">
        <f>IF(AND(PCdb[[#This Row],[SD]]&gt;UIoptions!$S$12,PCdb[[#This Row],[SD]]&lt;UIoptions!$T$12),1,0)</f>
        <v>0</v>
      </c>
      <c r="BF208" s="38">
        <f>IF(AND(PCdb[[#This Row],[SL]]&gt;UIoptions!$S$13,PCdb[[#This Row],[SL]]&lt;UIoptions!$T$13),1,0)</f>
        <v>0</v>
      </c>
      <c r="BG208" s="38">
        <f>IF(UIoptions!$N$35=1,IF(AND(PCdb[[#This Row],[SQ_SZ]]&gt;UIoptions!$S$15,PCdb[[#This Row],[SQ_SZ]]&lt;UIoptions!$T$15),1,0),1)</f>
        <v>0</v>
      </c>
      <c r="BH208" s="38">
        <f>IF(UIoptions!$N$35=2,IF(AND(PCdb[[#This Row],[ROUND_D]]&gt;UIoptions!$S$15,PCdb[[#This Row],[ROUND_D]]&lt;UIoptions!$T$15),1,0),1)</f>
        <v>1</v>
      </c>
      <c r="BI208" s="38">
        <f>IF(UIoptions!$N$75&lt;&gt;1,1,IF(AND(PCdb[[#This Row],[FL]]&gt;UIoptions!$S$16,PCdb[[#This Row],[FL]]&lt;UIoptions!$T$16),1,0))</f>
        <v>0</v>
      </c>
      <c r="BJ208" s="38" t="e">
        <f>IF(OR(UIoptions!$Q$18=PCdb[[#This Row],[THRU_SCREW]],UIoptions!$Q$18="NA"),1,0)</f>
        <v>#N/A</v>
      </c>
      <c r="BK208" s="38">
        <f>IF(OR(UIoptions!$P$19=PCdb[[#This Row],[THREAD_SZ]],UIoptions!$P$19="NA"),1,0)</f>
        <v>1</v>
      </c>
      <c r="BL208" s="38">
        <f>IF(UIoptions!$N$75=1,1,IF(AND(PCdb[[#This Row],[THREAD_L]]&gt;UIoptions!$S$17,PCdb[[#This Row],[THREAD_L]]&lt;UIoptions!$T$17),1,0))</f>
        <v>1</v>
      </c>
      <c r="BM208" s="38" t="e">
        <f>IF(SUM(PCdb[[#This Row],[BDhit]:[THREAD_Lhit]])=11,1,0)</f>
        <v>#N/A</v>
      </c>
      <c r="BN20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26194821NA32.2NANAM344</v>
      </c>
      <c r="BO208" s="38" t="e">
        <f>SUM(PCdb[[#This Row],[BDhit]:[THREAD_Lhit]])</f>
        <v>#N/A</v>
      </c>
    </row>
    <row r="209" spans="1:67" x14ac:dyDescent="0.25">
      <c r="A209" s="7">
        <v>213</v>
      </c>
      <c r="B209" s="93">
        <v>70</v>
      </c>
      <c r="C209" s="93">
        <v>50</v>
      </c>
      <c r="D209" s="93">
        <v>4</v>
      </c>
      <c r="E209" s="93">
        <v>14</v>
      </c>
      <c r="F209" s="93">
        <v>30</v>
      </c>
      <c r="G209" s="93">
        <v>62</v>
      </c>
      <c r="H209" s="93" t="s">
        <v>87</v>
      </c>
      <c r="I209" s="93">
        <v>6</v>
      </c>
      <c r="J209" s="93" t="s">
        <v>45</v>
      </c>
      <c r="K209" s="93" t="s">
        <v>87</v>
      </c>
      <c r="L209" s="93" t="s">
        <v>87</v>
      </c>
      <c r="M209" s="93">
        <v>4</v>
      </c>
      <c r="N209" s="38" t="s">
        <v>45</v>
      </c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>
        <v>27</v>
      </c>
      <c r="AQ209" s="38" t="s">
        <v>87</v>
      </c>
      <c r="AR209" s="38" t="s">
        <v>130</v>
      </c>
      <c r="AS209" s="38" t="s">
        <v>176</v>
      </c>
      <c r="AT209" s="38">
        <v>45</v>
      </c>
      <c r="AU209" s="38">
        <v>90</v>
      </c>
      <c r="AV209" s="38"/>
      <c r="AW209" s="38"/>
      <c r="AX209" s="38"/>
      <c r="AY209" s="38"/>
      <c r="AZ209" s="38"/>
      <c r="BA209" s="38"/>
      <c r="BB209" s="38">
        <f>IF(AND(PCdb[[#This Row],[BCD]]&gt;UIoptions!$S$10,PCdb[[#This Row],[BCD]]&lt;UIoptions!$T$10),1,0)</f>
        <v>0</v>
      </c>
      <c r="BC209" s="38">
        <f>IF(AND(PCdb[[#This Row],[PD]]&gt;UIoptions!$S$11,PCdb[[#This Row],[PD]]&lt;UIoptions!$T$11),1,0)</f>
        <v>0</v>
      </c>
      <c r="BD209" s="38">
        <f>IF(AND(UIoptions!$P$14&lt;=PCdb[[#This Row],[PL (MAX)]],UIoptions!$P$14&gt;UIoptions!$S$14),1,0)</f>
        <v>1</v>
      </c>
      <c r="BE209" s="38">
        <f>IF(AND(PCdb[[#This Row],[SD]]&gt;UIoptions!$S$12,PCdb[[#This Row],[SD]]&lt;UIoptions!$T$12),1,0)</f>
        <v>0</v>
      </c>
      <c r="BF209" s="38">
        <f>IF(AND(PCdb[[#This Row],[SL]]&gt;UIoptions!$S$13,PCdb[[#This Row],[SL]]&lt;UIoptions!$T$13),1,0)</f>
        <v>0</v>
      </c>
      <c r="BG209" s="38">
        <f>IF(UIoptions!$N$35=1,IF(AND(PCdb[[#This Row],[SQ_SZ]]&gt;UIoptions!$S$15,PCdb[[#This Row],[SQ_SZ]]&lt;UIoptions!$T$15),1,0),1)</f>
        <v>0</v>
      </c>
      <c r="BH209" s="38">
        <f>IF(UIoptions!$N$35=2,IF(AND(PCdb[[#This Row],[ROUND_D]]&gt;UIoptions!$S$15,PCdb[[#This Row],[ROUND_D]]&lt;UIoptions!$T$15),1,0),1)</f>
        <v>1</v>
      </c>
      <c r="BI209" s="38">
        <f>IF(UIoptions!$N$75&lt;&gt;1,1,IF(AND(PCdb[[#This Row],[FL]]&gt;UIoptions!$S$16,PCdb[[#This Row],[FL]]&lt;UIoptions!$T$16),1,0))</f>
        <v>0</v>
      </c>
      <c r="BJ209" s="38" t="e">
        <f>IF(OR(UIoptions!$Q$18=PCdb[[#This Row],[THRU_SCREW]],UIoptions!$Q$18="NA"),1,0)</f>
        <v>#N/A</v>
      </c>
      <c r="BK209" s="38">
        <f>IF(OR(UIoptions!$P$19=PCdb[[#This Row],[THREAD_SZ]],UIoptions!$P$19="NA"),1,0)</f>
        <v>1</v>
      </c>
      <c r="BL209" s="38">
        <f>IF(UIoptions!$N$75=1,1,IF(AND(PCdb[[#This Row],[THREAD_L]]&gt;UIoptions!$S$17,PCdb[[#This Row],[THREAD_L]]&lt;UIoptions!$T$17),1,0))</f>
        <v>1</v>
      </c>
      <c r="BM209" s="38" t="e">
        <f>IF(SUM(PCdb[[#This Row],[BDhit]:[THREAD_Lhit]])=11,1,0)</f>
        <v>#N/A</v>
      </c>
      <c r="BN20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70504143062NA6M5NANA4</v>
      </c>
      <c r="BO209" s="38" t="e">
        <f>SUM(PCdb[[#This Row],[BDhit]:[THREAD_Lhit]])</f>
        <v>#N/A</v>
      </c>
    </row>
    <row r="210" spans="1:67" x14ac:dyDescent="0.25">
      <c r="A210" s="7">
        <v>214</v>
      </c>
      <c r="B210" s="93">
        <v>98.4</v>
      </c>
      <c r="C210" s="93">
        <v>73.03</v>
      </c>
      <c r="D210" s="93">
        <v>4</v>
      </c>
      <c r="E210" s="93">
        <v>15.875</v>
      </c>
      <c r="F210" s="93">
        <v>31.8</v>
      </c>
      <c r="G210" s="93">
        <v>86</v>
      </c>
      <c r="H210" s="93" t="s">
        <v>87</v>
      </c>
      <c r="I210" s="93">
        <v>10</v>
      </c>
      <c r="J210" s="93" t="s">
        <v>45</v>
      </c>
      <c r="K210" s="93" t="s">
        <v>87</v>
      </c>
      <c r="L210" s="93" t="s">
        <v>87</v>
      </c>
      <c r="M210" s="93">
        <v>4</v>
      </c>
      <c r="N210" s="38" t="s">
        <v>45</v>
      </c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25">
        <v>45.2</v>
      </c>
      <c r="AD210" s="38">
        <v>39</v>
      </c>
      <c r="AE210" s="38" t="s">
        <v>87</v>
      </c>
      <c r="AF210" s="38" t="s">
        <v>130</v>
      </c>
      <c r="AG210" s="38" t="s">
        <v>172</v>
      </c>
      <c r="AH210" s="38">
        <v>45</v>
      </c>
      <c r="AI210" s="38">
        <v>90</v>
      </c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>
        <f>IF(AND(PCdb[[#This Row],[BCD]]&gt;UIoptions!$S$10,PCdb[[#This Row],[BCD]]&lt;UIoptions!$T$10),1,0)</f>
        <v>0</v>
      </c>
      <c r="BC210" s="38">
        <f>IF(AND(PCdb[[#This Row],[PD]]&gt;UIoptions!$S$11,PCdb[[#This Row],[PD]]&lt;UIoptions!$T$11),1,0)</f>
        <v>0</v>
      </c>
      <c r="BD210" s="38">
        <f>IF(AND(UIoptions!$P$14&lt;=PCdb[[#This Row],[PL (MAX)]],UIoptions!$P$14&gt;UIoptions!$S$14),1,0)</f>
        <v>1</v>
      </c>
      <c r="BE210" s="38">
        <f>IF(AND(PCdb[[#This Row],[SD]]&gt;UIoptions!$S$12,PCdb[[#This Row],[SD]]&lt;UIoptions!$T$12),1,0)</f>
        <v>0</v>
      </c>
      <c r="BF210" s="38">
        <f>IF(AND(PCdb[[#This Row],[SL]]&gt;UIoptions!$S$13,PCdb[[#This Row],[SL]]&lt;UIoptions!$T$13),1,0)</f>
        <v>0</v>
      </c>
      <c r="BG210" s="38">
        <f>IF(UIoptions!$N$35=1,IF(AND(PCdb[[#This Row],[SQ_SZ]]&gt;UIoptions!$S$15,PCdb[[#This Row],[SQ_SZ]]&lt;UIoptions!$T$15),1,0),1)</f>
        <v>0</v>
      </c>
      <c r="BH210" s="38">
        <f>IF(UIoptions!$N$35=2,IF(AND(PCdb[[#This Row],[ROUND_D]]&gt;UIoptions!$S$15,PCdb[[#This Row],[ROUND_D]]&lt;UIoptions!$T$15),1,0),1)</f>
        <v>1</v>
      </c>
      <c r="BI210" s="38">
        <f>IF(UIoptions!$N$75&lt;&gt;1,1,IF(AND(PCdb[[#This Row],[FL]]&gt;UIoptions!$S$16,PCdb[[#This Row],[FL]]&lt;UIoptions!$T$16),1,0))</f>
        <v>0</v>
      </c>
      <c r="BJ210" s="38" t="e">
        <f>IF(OR(UIoptions!$Q$18=PCdb[[#This Row],[THRU_SCREW]],UIoptions!$Q$18="NA"),1,0)</f>
        <v>#N/A</v>
      </c>
      <c r="BK210" s="38">
        <f>IF(OR(UIoptions!$P$19=PCdb[[#This Row],[THREAD_SZ]],UIoptions!$P$19="NA"),1,0)</f>
        <v>1</v>
      </c>
      <c r="BL210" s="38">
        <f>IF(UIoptions!$N$75=1,1,IF(AND(PCdb[[#This Row],[THREAD_L]]&gt;UIoptions!$S$17,PCdb[[#This Row],[THREAD_L]]&lt;UIoptions!$T$17),1,0))</f>
        <v>1</v>
      </c>
      <c r="BM210" s="38" t="e">
        <f>IF(SUM(PCdb[[#This Row],[BDhit]:[THREAD_Lhit]])=11,1,0)</f>
        <v>#N/A</v>
      </c>
      <c r="BN21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98.473.03415.87531.886NA10M5NANA4</v>
      </c>
      <c r="BO210" s="38" t="e">
        <f>SUM(PCdb[[#This Row],[BDhit]:[THREAD_Lhit]])</f>
        <v>#N/A</v>
      </c>
    </row>
    <row r="211" spans="1:67" x14ac:dyDescent="0.25">
      <c r="A211" s="7">
        <v>215</v>
      </c>
      <c r="B211" s="93">
        <v>90</v>
      </c>
      <c r="C211" s="93">
        <v>70</v>
      </c>
      <c r="D211" s="93">
        <v>4</v>
      </c>
      <c r="E211" s="93">
        <v>19</v>
      </c>
      <c r="F211" s="93">
        <v>35</v>
      </c>
      <c r="G211" s="93">
        <v>80</v>
      </c>
      <c r="H211" s="93" t="s">
        <v>87</v>
      </c>
      <c r="I211" s="93">
        <v>8</v>
      </c>
      <c r="J211" s="93" t="s">
        <v>49</v>
      </c>
      <c r="K211" s="93" t="s">
        <v>87</v>
      </c>
      <c r="L211" s="93" t="s">
        <v>87</v>
      </c>
      <c r="M211" s="93">
        <v>4</v>
      </c>
      <c r="N211" s="38" t="s">
        <v>49</v>
      </c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 t="s">
        <v>87</v>
      </c>
      <c r="AW211" s="38" t="s">
        <v>87</v>
      </c>
      <c r="AX211" s="38" t="s">
        <v>87</v>
      </c>
      <c r="AY211" s="38" t="s">
        <v>87</v>
      </c>
      <c r="AZ211" s="38" t="s">
        <v>87</v>
      </c>
      <c r="BA211" s="38" t="s">
        <v>87</v>
      </c>
      <c r="BB211" s="38">
        <f>IF(AND(PCdb[[#This Row],[BCD]]&gt;UIoptions!$S$10,PCdb[[#This Row],[BCD]]&lt;UIoptions!$T$10),1,0)</f>
        <v>0</v>
      </c>
      <c r="BC211" s="38">
        <f>IF(AND(PCdb[[#This Row],[PD]]&gt;UIoptions!$S$11,PCdb[[#This Row],[PD]]&lt;UIoptions!$T$11),1,0)</f>
        <v>0</v>
      </c>
      <c r="BD211" s="38">
        <f>IF(AND(UIoptions!$P$14&lt;=PCdb[[#This Row],[PL (MAX)]],UIoptions!$P$14&gt;UIoptions!$S$14),1,0)</f>
        <v>1</v>
      </c>
      <c r="BE211" s="38">
        <f>IF(AND(PCdb[[#This Row],[SD]]&gt;UIoptions!$S$12,PCdb[[#This Row],[SD]]&lt;UIoptions!$T$12),1,0)</f>
        <v>0</v>
      </c>
      <c r="BF211" s="38">
        <f>IF(AND(PCdb[[#This Row],[SL]]&gt;UIoptions!$S$13,PCdb[[#This Row],[SL]]&lt;UIoptions!$T$13),1,0)</f>
        <v>0</v>
      </c>
      <c r="BG211" s="38">
        <f>IF(UIoptions!$N$35=1,IF(AND(PCdb[[#This Row],[SQ_SZ]]&gt;UIoptions!$S$15,PCdb[[#This Row],[SQ_SZ]]&lt;UIoptions!$T$15),1,0),1)</f>
        <v>0</v>
      </c>
      <c r="BH211" s="38">
        <f>IF(UIoptions!$N$35=2,IF(AND(PCdb[[#This Row],[ROUND_D]]&gt;UIoptions!$S$15,PCdb[[#This Row],[ROUND_D]]&lt;UIoptions!$T$15),1,0),1)</f>
        <v>1</v>
      </c>
      <c r="BI211" s="38">
        <f>IF(UIoptions!$N$75&lt;&gt;1,1,IF(AND(PCdb[[#This Row],[FL]]&gt;UIoptions!$S$16,PCdb[[#This Row],[FL]]&lt;UIoptions!$T$16),1,0))</f>
        <v>0</v>
      </c>
      <c r="BJ211" s="38" t="e">
        <f>IF(OR(UIoptions!$Q$18=PCdb[[#This Row],[THRU_SCREW]],UIoptions!$Q$18="NA"),1,0)</f>
        <v>#N/A</v>
      </c>
      <c r="BK211" s="38">
        <f>IF(OR(UIoptions!$P$19=PCdb[[#This Row],[THREAD_SZ]],UIoptions!$P$19="NA"),1,0)</f>
        <v>1</v>
      </c>
      <c r="BL211" s="38">
        <f>IF(UIoptions!$N$75=1,1,IF(AND(PCdb[[#This Row],[THREAD_L]]&gt;UIoptions!$S$17,PCdb[[#This Row],[THREAD_L]]&lt;UIoptions!$T$17),1,0))</f>
        <v>1</v>
      </c>
      <c r="BM211" s="38" t="e">
        <f>IF(SUM(PCdb[[#This Row],[BDhit]:[THREAD_Lhit]])=11,1,0)</f>
        <v>#N/A</v>
      </c>
      <c r="BN21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90704193580NA8M6NANA4</v>
      </c>
      <c r="BO211" s="38" t="e">
        <f>SUM(PCdb[[#This Row],[BDhit]:[THREAD_Lhit]])</f>
        <v>#N/A</v>
      </c>
    </row>
    <row r="212" spans="1:67" x14ac:dyDescent="0.25">
      <c r="A212" s="7">
        <v>216</v>
      </c>
      <c r="B212" s="93">
        <v>98.5</v>
      </c>
      <c r="C212" s="93">
        <v>73.03</v>
      </c>
      <c r="D212" s="93">
        <v>4</v>
      </c>
      <c r="E212" s="93">
        <v>9.52</v>
      </c>
      <c r="F212" s="93">
        <v>30.2</v>
      </c>
      <c r="G212" s="93">
        <v>82.6</v>
      </c>
      <c r="H212" s="93" t="s">
        <v>87</v>
      </c>
      <c r="I212" s="93">
        <v>6.4</v>
      </c>
      <c r="J212" s="93" t="s">
        <v>45</v>
      </c>
      <c r="K212" s="93" t="s">
        <v>87</v>
      </c>
      <c r="L212" s="93" t="s">
        <v>87</v>
      </c>
      <c r="M212" s="93">
        <v>4</v>
      </c>
      <c r="N212" s="38" t="s">
        <v>45</v>
      </c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>
        <v>38.5</v>
      </c>
      <c r="AW212" s="38" t="s">
        <v>87</v>
      </c>
      <c r="AX212" s="38" t="s">
        <v>130</v>
      </c>
      <c r="AY212" s="38" t="s">
        <v>177</v>
      </c>
      <c r="AZ212" s="38">
        <v>45</v>
      </c>
      <c r="BA212" s="38">
        <v>90</v>
      </c>
      <c r="BB212" s="38">
        <f>IF(AND(PCdb[[#This Row],[BCD]]&gt;UIoptions!$S$10,PCdb[[#This Row],[BCD]]&lt;UIoptions!$T$10),1,0)</f>
        <v>0</v>
      </c>
      <c r="BC212" s="38">
        <f>IF(AND(PCdb[[#This Row],[PD]]&gt;UIoptions!$S$11,PCdb[[#This Row],[PD]]&lt;UIoptions!$T$11),1,0)</f>
        <v>0</v>
      </c>
      <c r="BD212" s="38">
        <f>IF(AND(UIoptions!$P$14&lt;=PCdb[[#This Row],[PL (MAX)]],UIoptions!$P$14&gt;UIoptions!$S$14),1,0)</f>
        <v>1</v>
      </c>
      <c r="BE212" s="38">
        <f>IF(AND(PCdb[[#This Row],[SD]]&gt;UIoptions!$S$12,PCdb[[#This Row],[SD]]&lt;UIoptions!$T$12),1,0)</f>
        <v>0</v>
      </c>
      <c r="BF212" s="38">
        <f>IF(AND(PCdb[[#This Row],[SL]]&gt;UIoptions!$S$13,PCdb[[#This Row],[SL]]&lt;UIoptions!$T$13),1,0)</f>
        <v>0</v>
      </c>
      <c r="BG212" s="38">
        <f>IF(UIoptions!$N$35=1,IF(AND(PCdb[[#This Row],[SQ_SZ]]&gt;UIoptions!$S$15,PCdb[[#This Row],[SQ_SZ]]&lt;UIoptions!$T$15),1,0),1)</f>
        <v>0</v>
      </c>
      <c r="BH212" s="38">
        <f>IF(UIoptions!$N$35=2,IF(AND(PCdb[[#This Row],[ROUND_D]]&gt;UIoptions!$S$15,PCdb[[#This Row],[ROUND_D]]&lt;UIoptions!$T$15),1,0),1)</f>
        <v>1</v>
      </c>
      <c r="BI212" s="38">
        <f>IF(UIoptions!$N$75&lt;&gt;1,1,IF(AND(PCdb[[#This Row],[FL]]&gt;UIoptions!$S$16,PCdb[[#This Row],[FL]]&lt;UIoptions!$T$16),1,0))</f>
        <v>0</v>
      </c>
      <c r="BJ212" s="38" t="e">
        <f>IF(OR(UIoptions!$Q$18=PCdb[[#This Row],[THRU_SCREW]],UIoptions!$Q$18="NA"),1,0)</f>
        <v>#N/A</v>
      </c>
      <c r="BK212" s="38">
        <f>IF(OR(UIoptions!$P$19=PCdb[[#This Row],[THREAD_SZ]],UIoptions!$P$19="NA"),1,0)</f>
        <v>1</v>
      </c>
      <c r="BL212" s="38">
        <f>IF(UIoptions!$N$75=1,1,IF(AND(PCdb[[#This Row],[THREAD_L]]&gt;UIoptions!$S$17,PCdb[[#This Row],[THREAD_L]]&lt;UIoptions!$T$17),1,0))</f>
        <v>1</v>
      </c>
      <c r="BM212" s="38" t="e">
        <f>IF(SUM(PCdb[[#This Row],[BDhit]:[THREAD_Lhit]])=11,1,0)</f>
        <v>#N/A</v>
      </c>
      <c r="BN21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98.573.0349.5230.282.6NA6.4M5NANA4</v>
      </c>
      <c r="BO212" s="38" t="e">
        <f>SUM(PCdb[[#This Row],[BDhit]:[THREAD_Lhit]])</f>
        <v>#N/A</v>
      </c>
    </row>
    <row r="213" spans="1:67" x14ac:dyDescent="0.25">
      <c r="A213" s="7">
        <v>217</v>
      </c>
      <c r="B213" s="93">
        <v>99</v>
      </c>
      <c r="C213" s="93">
        <v>73</v>
      </c>
      <c r="D213" s="93">
        <v>4</v>
      </c>
      <c r="E213" s="93">
        <v>12</v>
      </c>
      <c r="F213" s="93">
        <v>31.5</v>
      </c>
      <c r="G213" s="93">
        <v>86</v>
      </c>
      <c r="H213" s="93" t="s">
        <v>87</v>
      </c>
      <c r="I213" s="93">
        <v>7</v>
      </c>
      <c r="J213" s="93" t="s">
        <v>49</v>
      </c>
      <c r="K213" s="93" t="s">
        <v>87</v>
      </c>
      <c r="L213" s="93" t="s">
        <v>87</v>
      </c>
      <c r="M213" s="93">
        <v>4</v>
      </c>
      <c r="N213" s="38" t="s">
        <v>49</v>
      </c>
      <c r="O213" s="38" t="s">
        <v>87</v>
      </c>
      <c r="P213" s="38" t="s">
        <v>87</v>
      </c>
      <c r="Q213" s="38" t="s">
        <v>87</v>
      </c>
      <c r="R213" s="38" t="s">
        <v>87</v>
      </c>
      <c r="S213" s="38" t="s">
        <v>87</v>
      </c>
      <c r="T213" s="38" t="s">
        <v>87</v>
      </c>
      <c r="U213" s="38" t="s">
        <v>87</v>
      </c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 t="s">
        <v>87</v>
      </c>
      <c r="AK213" s="38" t="s">
        <v>87</v>
      </c>
      <c r="AL213" s="38" t="s">
        <v>87</v>
      </c>
      <c r="AM213" s="38" t="s">
        <v>87</v>
      </c>
      <c r="AN213" s="38" t="s">
        <v>87</v>
      </c>
      <c r="AO213" s="38" t="s">
        <v>87</v>
      </c>
      <c r="AP213" s="38" t="s">
        <v>87</v>
      </c>
      <c r="AQ213" s="38" t="s">
        <v>87</v>
      </c>
      <c r="AR213" s="38" t="s">
        <v>87</v>
      </c>
      <c r="AS213" s="38" t="s">
        <v>87</v>
      </c>
      <c r="AT213" s="38" t="s">
        <v>87</v>
      </c>
      <c r="AU213" s="38" t="s">
        <v>87</v>
      </c>
      <c r="AV213" s="38">
        <v>39</v>
      </c>
      <c r="AW213" s="38" t="s">
        <v>87</v>
      </c>
      <c r="AX213" s="38" t="s">
        <v>130</v>
      </c>
      <c r="AY213" s="38" t="s">
        <v>177</v>
      </c>
      <c r="AZ213" s="38">
        <v>45</v>
      </c>
      <c r="BA213" s="38">
        <v>90</v>
      </c>
      <c r="BB213" s="38">
        <f>IF(AND(PCdb[[#This Row],[BCD]]&gt;UIoptions!$S$10,PCdb[[#This Row],[BCD]]&lt;UIoptions!$T$10),1,0)</f>
        <v>0</v>
      </c>
      <c r="BC213" s="38">
        <f>IF(AND(PCdb[[#This Row],[PD]]&gt;UIoptions!$S$11,PCdb[[#This Row],[PD]]&lt;UIoptions!$T$11),1,0)</f>
        <v>0</v>
      </c>
      <c r="BD213" s="38">
        <f>IF(AND(UIoptions!$P$14&lt;=PCdb[[#This Row],[PL (MAX)]],UIoptions!$P$14&gt;UIoptions!$S$14),1,0)</f>
        <v>1</v>
      </c>
      <c r="BE213" s="38">
        <f>IF(AND(PCdb[[#This Row],[SD]]&gt;UIoptions!$S$12,PCdb[[#This Row],[SD]]&lt;UIoptions!$T$12),1,0)</f>
        <v>0</v>
      </c>
      <c r="BF213" s="38">
        <f>IF(AND(PCdb[[#This Row],[SL]]&gt;UIoptions!$S$13,PCdb[[#This Row],[SL]]&lt;UIoptions!$T$13),1,0)</f>
        <v>0</v>
      </c>
      <c r="BG213" s="38">
        <f>IF(UIoptions!$N$35=1,IF(AND(PCdb[[#This Row],[SQ_SZ]]&gt;UIoptions!$S$15,PCdb[[#This Row],[SQ_SZ]]&lt;UIoptions!$T$15),1,0),1)</f>
        <v>0</v>
      </c>
      <c r="BH213" s="38">
        <f>IF(UIoptions!$N$35=2,IF(AND(PCdb[[#This Row],[ROUND_D]]&gt;UIoptions!$S$15,PCdb[[#This Row],[ROUND_D]]&lt;UIoptions!$T$15),1,0),1)</f>
        <v>1</v>
      </c>
      <c r="BI213" s="38">
        <f>IF(UIoptions!$N$75&lt;&gt;1,1,IF(AND(PCdb[[#This Row],[FL]]&gt;UIoptions!$S$16,PCdb[[#This Row],[FL]]&lt;UIoptions!$T$16),1,0))</f>
        <v>0</v>
      </c>
      <c r="BJ213" s="38" t="e">
        <f>IF(OR(UIoptions!$Q$18=PCdb[[#This Row],[THRU_SCREW]],UIoptions!$Q$18="NA"),1,0)</f>
        <v>#N/A</v>
      </c>
      <c r="BK213" s="38">
        <f>IF(OR(UIoptions!$P$19=PCdb[[#This Row],[THREAD_SZ]],UIoptions!$P$19="NA"),1,0)</f>
        <v>1</v>
      </c>
      <c r="BL213" s="38">
        <f>IF(UIoptions!$N$75=1,1,IF(AND(PCdb[[#This Row],[THREAD_L]]&gt;UIoptions!$S$17,PCdb[[#This Row],[THREAD_L]]&lt;UIoptions!$T$17),1,0))</f>
        <v>1</v>
      </c>
      <c r="BM213" s="38" t="e">
        <f>IF(SUM(PCdb[[#This Row],[BDhit]:[THREAD_Lhit]])=11,1,0)</f>
        <v>#N/A</v>
      </c>
      <c r="BN21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997341231.586NA7M6NANA4</v>
      </c>
      <c r="BO213" s="38" t="e">
        <f>SUM(PCdb[[#This Row],[BDhit]:[THREAD_Lhit]])</f>
        <v>#N/A</v>
      </c>
    </row>
    <row r="214" spans="1:67" x14ac:dyDescent="0.25">
      <c r="A214" s="7">
        <v>218</v>
      </c>
      <c r="B214" s="93">
        <v>100</v>
      </c>
      <c r="C214" s="93">
        <v>80</v>
      </c>
      <c r="D214" s="93">
        <v>4</v>
      </c>
      <c r="E214" s="93">
        <v>19</v>
      </c>
      <c r="F214" s="93">
        <v>40</v>
      </c>
      <c r="G214" s="93" t="s">
        <v>87</v>
      </c>
      <c r="H214" s="93"/>
      <c r="I214" s="93" t="s">
        <v>87</v>
      </c>
      <c r="J214" s="93" t="s">
        <v>87</v>
      </c>
      <c r="K214" s="93" t="s">
        <v>49</v>
      </c>
      <c r="L214" s="93"/>
      <c r="M214" s="93">
        <v>4</v>
      </c>
      <c r="N214" s="38" t="s">
        <v>49</v>
      </c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>
        <v>45.2</v>
      </c>
      <c r="AD214" s="38" t="s">
        <v>87</v>
      </c>
      <c r="AE214" s="38" t="s">
        <v>87</v>
      </c>
      <c r="AF214" s="38" t="s">
        <v>87</v>
      </c>
      <c r="AG214" s="38" t="s">
        <v>279</v>
      </c>
      <c r="AH214" s="38">
        <v>36.5</v>
      </c>
      <c r="AI214" s="38">
        <v>90</v>
      </c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>
        <f>IF(AND(PCdb[[#This Row],[BCD]]&gt;UIoptions!$S$10,PCdb[[#This Row],[BCD]]&lt;UIoptions!$T$10),1,0)</f>
        <v>0</v>
      </c>
      <c r="BC214" s="38">
        <f>IF(AND(PCdb[[#This Row],[PD]]&gt;UIoptions!$S$11,PCdb[[#This Row],[PD]]&lt;UIoptions!$T$11),1,0)</f>
        <v>0</v>
      </c>
      <c r="BD214" s="38">
        <f>IF(AND(UIoptions!$P$14&lt;=PCdb[[#This Row],[PL (MAX)]],UIoptions!$P$14&gt;UIoptions!$S$14),1,0)</f>
        <v>1</v>
      </c>
      <c r="BE214" s="38">
        <f>IF(AND(PCdb[[#This Row],[SD]]&gt;UIoptions!$S$12,PCdb[[#This Row],[SD]]&lt;UIoptions!$T$12),1,0)</f>
        <v>0</v>
      </c>
      <c r="BF214" s="38">
        <f>IF(AND(PCdb[[#This Row],[SL]]&gt;UIoptions!$S$13,PCdb[[#This Row],[SL]]&lt;UIoptions!$T$13),1,0)</f>
        <v>0</v>
      </c>
      <c r="BG214" s="38">
        <f>IF(UIoptions!$N$35=1,IF(AND(PCdb[[#This Row],[SQ_SZ]]&gt;UIoptions!$S$15,PCdb[[#This Row],[SQ_SZ]]&lt;UIoptions!$T$15),1,0),1)</f>
        <v>0</v>
      </c>
      <c r="BH214" s="38">
        <f>IF(UIoptions!$N$35=2,IF(AND(PCdb[[#This Row],[ROUND_D]]&gt;UIoptions!$S$15,PCdb[[#This Row],[ROUND_D]]&lt;UIoptions!$T$15),1,0),1)</f>
        <v>1</v>
      </c>
      <c r="BI214" s="38">
        <f>IF(UIoptions!$N$75&lt;&gt;1,1,IF(AND(PCdb[[#This Row],[FL]]&gt;UIoptions!$S$16,PCdb[[#This Row],[FL]]&lt;UIoptions!$T$16),1,0))</f>
        <v>0</v>
      </c>
      <c r="BJ214" s="38" t="e">
        <f>IF(OR(UIoptions!$Q$18=PCdb[[#This Row],[THRU_SCREW]],UIoptions!$Q$18="NA"),1,0)</f>
        <v>#N/A</v>
      </c>
      <c r="BK214" s="38">
        <f>IF(OR(UIoptions!$P$19=PCdb[[#This Row],[THREAD_SZ]],UIoptions!$P$19="NA"),1,0)</f>
        <v>1</v>
      </c>
      <c r="BL214" s="38">
        <f>IF(UIoptions!$N$75=1,1,IF(AND(PCdb[[#This Row],[THREAD_L]]&gt;UIoptions!$S$17,PCdb[[#This Row],[THREAD_L]]&lt;UIoptions!$T$17),1,0))</f>
        <v>1</v>
      </c>
      <c r="BM214" s="38" t="e">
        <f>IF(SUM(PCdb[[#This Row],[BDhit]:[THREAD_Lhit]])=11,1,0)</f>
        <v>#N/A</v>
      </c>
      <c r="BN21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1008041940NANANAM64</v>
      </c>
      <c r="BO214" s="38" t="e">
        <f>SUM(PCdb[[#This Row],[BDhit]:[THREAD_Lhit]])</f>
        <v>#N/A</v>
      </c>
    </row>
    <row r="215" spans="1:67" x14ac:dyDescent="0.25">
      <c r="A215" s="7">
        <v>219</v>
      </c>
      <c r="B215" s="93">
        <v>70</v>
      </c>
      <c r="C215" s="93">
        <v>38</v>
      </c>
      <c r="D215" s="93">
        <v>4</v>
      </c>
      <c r="E215" s="93">
        <v>10</v>
      </c>
      <c r="F215" s="93">
        <v>23</v>
      </c>
      <c r="G215" s="93">
        <v>60</v>
      </c>
      <c r="H215" s="93" t="s">
        <v>87</v>
      </c>
      <c r="I215" s="93">
        <v>36</v>
      </c>
      <c r="J215" s="93" t="s">
        <v>45</v>
      </c>
      <c r="K215" s="93" t="s">
        <v>87</v>
      </c>
      <c r="L215" s="93" t="s">
        <v>87</v>
      </c>
      <c r="M215" s="93">
        <v>4</v>
      </c>
      <c r="N215" s="38" t="s">
        <v>45</v>
      </c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>
        <v>22</v>
      </c>
      <c r="AK215" s="38" t="s">
        <v>87</v>
      </c>
      <c r="AL215" s="38" t="s">
        <v>130</v>
      </c>
      <c r="AM215" s="38" t="s">
        <v>177</v>
      </c>
      <c r="AN215" s="38">
        <v>45</v>
      </c>
      <c r="AO215" s="38">
        <v>90</v>
      </c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>
        <f>IF(AND(PCdb[[#This Row],[BCD]]&gt;UIoptions!$S$10,PCdb[[#This Row],[BCD]]&lt;UIoptions!$T$10),1,0)</f>
        <v>0</v>
      </c>
      <c r="BC215" s="38">
        <f>IF(AND(PCdb[[#This Row],[PD]]&gt;UIoptions!$S$11,PCdb[[#This Row],[PD]]&lt;UIoptions!$T$11),1,0)</f>
        <v>0</v>
      </c>
      <c r="BD215" s="38">
        <f>IF(AND(UIoptions!$P$14&lt;=PCdb[[#This Row],[PL (MAX)]],UIoptions!$P$14&gt;UIoptions!$S$14),1,0)</f>
        <v>1</v>
      </c>
      <c r="BE215" s="38">
        <f>IF(AND(PCdb[[#This Row],[SD]]&gt;UIoptions!$S$12,PCdb[[#This Row],[SD]]&lt;UIoptions!$T$12),1,0)</f>
        <v>0</v>
      </c>
      <c r="BF215" s="38">
        <f>IF(AND(PCdb[[#This Row],[SL]]&gt;UIoptions!$S$13,PCdb[[#This Row],[SL]]&lt;UIoptions!$T$13),1,0)</f>
        <v>1</v>
      </c>
      <c r="BG215" s="38">
        <f>IF(UIoptions!$N$35=1,IF(AND(PCdb[[#This Row],[SQ_SZ]]&gt;UIoptions!$S$15,PCdb[[#This Row],[SQ_SZ]]&lt;UIoptions!$T$15),1,0),1)</f>
        <v>0</v>
      </c>
      <c r="BH215" s="38">
        <f>IF(UIoptions!$N$35=2,IF(AND(PCdb[[#This Row],[ROUND_D]]&gt;UIoptions!$S$15,PCdb[[#This Row],[ROUND_D]]&lt;UIoptions!$T$15),1,0),1)</f>
        <v>1</v>
      </c>
      <c r="BI215" s="38">
        <f>IF(UIoptions!$N$75&lt;&gt;1,1,IF(AND(PCdb[[#This Row],[FL]]&gt;UIoptions!$S$16,PCdb[[#This Row],[FL]]&lt;UIoptions!$T$16),1,0))</f>
        <v>0</v>
      </c>
      <c r="BJ215" s="38" t="e">
        <f>IF(OR(UIoptions!$Q$18=PCdb[[#This Row],[THRU_SCREW]],UIoptions!$Q$18="NA"),1,0)</f>
        <v>#N/A</v>
      </c>
      <c r="BK215" s="38">
        <f>IF(OR(UIoptions!$P$19=PCdb[[#This Row],[THREAD_SZ]],UIoptions!$P$19="NA"),1,0)</f>
        <v>1</v>
      </c>
      <c r="BL215" s="38">
        <f>IF(UIoptions!$N$75=1,1,IF(AND(PCdb[[#This Row],[THREAD_L]]&gt;UIoptions!$S$17,PCdb[[#This Row],[THREAD_L]]&lt;UIoptions!$T$17),1,0))</f>
        <v>1</v>
      </c>
      <c r="BM215" s="38" t="e">
        <f>IF(SUM(PCdb[[#This Row],[BDhit]:[THREAD_Lhit]])=11,1,0)</f>
        <v>#N/A</v>
      </c>
      <c r="BN21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70384102360NA36M5NANA4</v>
      </c>
      <c r="BO215" s="38" t="e">
        <f>SUM(PCdb[[#This Row],[BDhit]:[THREAD_Lhit]])</f>
        <v>#N/A</v>
      </c>
    </row>
    <row r="216" spans="1:67" x14ac:dyDescent="0.25">
      <c r="A216" s="7">
        <v>220</v>
      </c>
      <c r="B216" s="93">
        <v>43.8</v>
      </c>
      <c r="C216" s="93">
        <v>22</v>
      </c>
      <c r="D216" s="93">
        <v>4</v>
      </c>
      <c r="E216" s="93">
        <v>5.0999999999999996</v>
      </c>
      <c r="F216" s="93">
        <v>24</v>
      </c>
      <c r="G216" s="93">
        <v>42</v>
      </c>
      <c r="H216" s="93" t="s">
        <v>87</v>
      </c>
      <c r="I216" s="93" t="s">
        <v>87</v>
      </c>
      <c r="J216" s="93" t="s">
        <v>87</v>
      </c>
      <c r="K216" s="93" t="s">
        <v>105</v>
      </c>
      <c r="L216" s="93">
        <v>8</v>
      </c>
      <c r="M216" s="93">
        <v>4</v>
      </c>
      <c r="N216" s="38">
        <v>4</v>
      </c>
      <c r="O216" s="25">
        <v>36.200000000000003</v>
      </c>
      <c r="P216" s="38" t="s">
        <v>87</v>
      </c>
      <c r="Q216" s="38" t="s">
        <v>87</v>
      </c>
      <c r="R216" s="38" t="s">
        <v>130</v>
      </c>
      <c r="S216" s="38" t="s">
        <v>279</v>
      </c>
      <c r="T216" s="38">
        <v>45</v>
      </c>
      <c r="U216" s="38">
        <v>90</v>
      </c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>
        <f>IF(AND(PCdb[[#This Row],[BCD]]&gt;UIoptions!$S$10,PCdb[[#This Row],[BCD]]&lt;UIoptions!$T$10),1,0)</f>
        <v>0</v>
      </c>
      <c r="BC216" s="38">
        <f>IF(AND(PCdb[[#This Row],[PD]]&gt;UIoptions!$S$11,PCdb[[#This Row],[PD]]&lt;UIoptions!$T$11),1,0)</f>
        <v>0</v>
      </c>
      <c r="BD216" s="38">
        <f>IF(AND(UIoptions!$P$14&lt;=PCdb[[#This Row],[PL (MAX)]],UIoptions!$P$14&gt;UIoptions!$S$14),1,0)</f>
        <v>1</v>
      </c>
      <c r="BE216" s="38">
        <f>IF(AND(PCdb[[#This Row],[SD]]&gt;UIoptions!$S$12,PCdb[[#This Row],[SD]]&lt;UIoptions!$T$12),1,0)</f>
        <v>0</v>
      </c>
      <c r="BF216" s="38">
        <f>IF(AND(PCdb[[#This Row],[SL]]&gt;UIoptions!$S$13,PCdb[[#This Row],[SL]]&lt;UIoptions!$T$13),1,0)</f>
        <v>0</v>
      </c>
      <c r="BG216" s="38">
        <f>IF(UIoptions!$N$35=1,IF(AND(PCdb[[#This Row],[SQ_SZ]]&gt;UIoptions!$S$15,PCdb[[#This Row],[SQ_SZ]]&lt;UIoptions!$T$15),1,0),1)</f>
        <v>0</v>
      </c>
      <c r="BH216" s="38">
        <f>IF(UIoptions!$N$35=2,IF(AND(PCdb[[#This Row],[ROUND_D]]&gt;UIoptions!$S$15,PCdb[[#This Row],[ROUND_D]]&lt;UIoptions!$T$15),1,0),1)</f>
        <v>1</v>
      </c>
      <c r="BI216" s="38">
        <f>IF(UIoptions!$N$75&lt;&gt;1,1,IF(AND(PCdb[[#This Row],[FL]]&gt;UIoptions!$S$16,PCdb[[#This Row],[FL]]&lt;UIoptions!$T$16),1,0))</f>
        <v>0</v>
      </c>
      <c r="BJ216" s="38" t="e">
        <f>IF(OR(UIoptions!$Q$18=PCdb[[#This Row],[THRU_SCREW]],UIoptions!$Q$18="NA"),1,0)</f>
        <v>#N/A</v>
      </c>
      <c r="BK216" s="38">
        <f>IF(OR(UIoptions!$P$19=PCdb[[#This Row],[THREAD_SZ]],UIoptions!$P$19="NA"),1,0)</f>
        <v>1</v>
      </c>
      <c r="BL216" s="38">
        <f>IF(UIoptions!$N$75=1,1,IF(AND(PCdb[[#This Row],[THREAD_L]]&gt;UIoptions!$S$17,PCdb[[#This Row],[THREAD_L]]&lt;UIoptions!$T$17),1,0))</f>
        <v>1</v>
      </c>
      <c r="BM216" s="38" t="e">
        <f>IF(SUM(PCdb[[#This Row],[BDhit]:[THREAD_Lhit]])=11,1,0)</f>
        <v>#N/A</v>
      </c>
      <c r="BN21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43.82245.12442NANANAM384</v>
      </c>
      <c r="BO216" s="38" t="e">
        <f>SUM(PCdb[[#This Row],[BDhit]:[THREAD_Lhit]])</f>
        <v>#N/A</v>
      </c>
    </row>
    <row r="217" spans="1:67" x14ac:dyDescent="0.25">
      <c r="A217" s="7">
        <v>221</v>
      </c>
      <c r="B217" s="93">
        <v>106</v>
      </c>
      <c r="C217" s="93" t="s">
        <v>87</v>
      </c>
      <c r="D217" s="93" t="s">
        <v>87</v>
      </c>
      <c r="E217" s="93">
        <v>14</v>
      </c>
      <c r="F217" s="93" t="s">
        <v>87</v>
      </c>
      <c r="G217" s="93" t="s">
        <v>87</v>
      </c>
      <c r="H217" s="93" t="s">
        <v>87</v>
      </c>
      <c r="I217" s="93" t="s">
        <v>87</v>
      </c>
      <c r="J217" s="93" t="s">
        <v>87</v>
      </c>
      <c r="K217" s="93" t="s">
        <v>87</v>
      </c>
      <c r="L217" s="93" t="s">
        <v>87</v>
      </c>
      <c r="M217" s="93" t="s">
        <v>87</v>
      </c>
      <c r="N217" s="38" t="s">
        <v>87</v>
      </c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 t="s">
        <v>87</v>
      </c>
      <c r="AW217" s="38" t="s">
        <v>87</v>
      </c>
      <c r="AX217" s="38" t="s">
        <v>628</v>
      </c>
      <c r="AY217" s="38" t="s">
        <v>675</v>
      </c>
      <c r="AZ217" s="38" t="s">
        <v>87</v>
      </c>
      <c r="BA217" s="38" t="s">
        <v>87</v>
      </c>
      <c r="BB217" s="38">
        <f>IF(AND(PCdb[[#This Row],[BCD]]&gt;UIoptions!$S$10,PCdb[[#This Row],[BCD]]&lt;UIoptions!$T$10),1,0)</f>
        <v>0</v>
      </c>
      <c r="BC217" s="38">
        <f>IF(AND(PCdb[[#This Row],[PD]]&gt;UIoptions!$S$11,PCdb[[#This Row],[PD]]&lt;UIoptions!$T$11),1,0)</f>
        <v>0</v>
      </c>
      <c r="BD217" s="38">
        <f>IF(AND(UIoptions!$P$14&lt;=PCdb[[#This Row],[PL (MAX)]],UIoptions!$P$14&gt;UIoptions!$S$14),1,0)</f>
        <v>1</v>
      </c>
      <c r="BE217" s="38">
        <f>IF(AND(PCdb[[#This Row],[SD]]&gt;UIoptions!$S$12,PCdb[[#This Row],[SD]]&lt;UIoptions!$T$12),1,0)</f>
        <v>0</v>
      </c>
      <c r="BF217" s="38">
        <f>IF(AND(PCdb[[#This Row],[SL]]&gt;UIoptions!$S$13,PCdb[[#This Row],[SL]]&lt;UIoptions!$T$13),1,0)</f>
        <v>0</v>
      </c>
      <c r="BG217" s="38">
        <f>IF(UIoptions!$N$35=1,IF(AND(PCdb[[#This Row],[SQ_SZ]]&gt;UIoptions!$S$15,PCdb[[#This Row],[SQ_SZ]]&lt;UIoptions!$T$15),1,0),1)</f>
        <v>0</v>
      </c>
      <c r="BH217" s="38">
        <f>IF(UIoptions!$N$35=2,IF(AND(PCdb[[#This Row],[ROUND_D]]&gt;UIoptions!$S$15,PCdb[[#This Row],[ROUND_D]]&lt;UIoptions!$T$15),1,0),1)</f>
        <v>1</v>
      </c>
      <c r="BI217" s="38">
        <f>IF(UIoptions!$N$75&lt;&gt;1,1,IF(AND(PCdb[[#This Row],[FL]]&gt;UIoptions!$S$16,PCdb[[#This Row],[FL]]&lt;UIoptions!$T$16),1,0))</f>
        <v>0</v>
      </c>
      <c r="BJ217" s="38" t="e">
        <f>IF(OR(UIoptions!$Q$18=PCdb[[#This Row],[THRU_SCREW]],UIoptions!$Q$18="NA"),1,0)</f>
        <v>#N/A</v>
      </c>
      <c r="BK217" s="38">
        <f>IF(OR(UIoptions!$P$19=PCdb[[#This Row],[THREAD_SZ]],UIoptions!$P$19="NA"),1,0)</f>
        <v>1</v>
      </c>
      <c r="BL217" s="38">
        <f>IF(UIoptions!$N$75=1,1,IF(AND(PCdb[[#This Row],[THREAD_L]]&gt;UIoptions!$S$17,PCdb[[#This Row],[THREAD_L]]&lt;UIoptions!$T$17),1,0))</f>
        <v>1</v>
      </c>
      <c r="BM217" s="38" t="e">
        <f>IF(SUM(PCdb[[#This Row],[BDhit]:[THREAD_Lhit]])=11,1,0)</f>
        <v>#N/A</v>
      </c>
      <c r="BN21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106NANA14NANANANANANANANA</v>
      </c>
      <c r="BO217" s="38" t="e">
        <f>SUM(PCdb[[#This Row],[BDhit]:[THREAD_Lhit]])</f>
        <v>#N/A</v>
      </c>
    </row>
    <row r="218" spans="1:67" x14ac:dyDescent="0.25">
      <c r="A218" s="7">
        <v>222</v>
      </c>
      <c r="B218" s="93">
        <v>98.4</v>
      </c>
      <c r="C218" s="93">
        <v>60</v>
      </c>
      <c r="D218" s="93">
        <v>4</v>
      </c>
      <c r="E218" s="93">
        <v>14</v>
      </c>
      <c r="F218" s="93">
        <v>40</v>
      </c>
      <c r="G218" s="93">
        <v>85</v>
      </c>
      <c r="H218" s="93" t="s">
        <v>87</v>
      </c>
      <c r="I218" s="93">
        <v>10</v>
      </c>
      <c r="J218" s="93" t="s">
        <v>49</v>
      </c>
      <c r="K218" s="93" t="s">
        <v>87</v>
      </c>
      <c r="L218" s="93" t="s">
        <v>87</v>
      </c>
      <c r="M218" s="93">
        <v>4</v>
      </c>
      <c r="N218" s="38" t="s">
        <v>49</v>
      </c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>
        <v>38</v>
      </c>
      <c r="AW218" s="38" t="s">
        <v>87</v>
      </c>
      <c r="AX218" s="38" t="s">
        <v>130</v>
      </c>
      <c r="AY218" s="38" t="s">
        <v>177</v>
      </c>
      <c r="AZ218" s="38">
        <v>45</v>
      </c>
      <c r="BA218" s="38">
        <v>90</v>
      </c>
      <c r="BB218" s="38">
        <f>IF(AND(PCdb[[#This Row],[BCD]]&gt;UIoptions!$S$10,PCdb[[#This Row],[BCD]]&lt;UIoptions!$T$10),1,0)</f>
        <v>0</v>
      </c>
      <c r="BC218" s="38">
        <f>IF(AND(PCdb[[#This Row],[PD]]&gt;UIoptions!$S$11,PCdb[[#This Row],[PD]]&lt;UIoptions!$T$11),1,0)</f>
        <v>1</v>
      </c>
      <c r="BD218" s="38">
        <f>IF(AND(UIoptions!$P$14&lt;=PCdb[[#This Row],[PL (MAX)]],UIoptions!$P$14&gt;UIoptions!$S$14),1,0)</f>
        <v>1</v>
      </c>
      <c r="BE218" s="38">
        <f>IF(AND(PCdb[[#This Row],[SD]]&gt;UIoptions!$S$12,PCdb[[#This Row],[SD]]&lt;UIoptions!$T$12),1,0)</f>
        <v>0</v>
      </c>
      <c r="BF218" s="38">
        <f>IF(AND(PCdb[[#This Row],[SL]]&gt;UIoptions!$S$13,PCdb[[#This Row],[SL]]&lt;UIoptions!$T$13),1,0)</f>
        <v>0</v>
      </c>
      <c r="BG218" s="38">
        <f>IF(UIoptions!$N$35=1,IF(AND(PCdb[[#This Row],[SQ_SZ]]&gt;UIoptions!$S$15,PCdb[[#This Row],[SQ_SZ]]&lt;UIoptions!$T$15),1,0),1)</f>
        <v>0</v>
      </c>
      <c r="BH218" s="38">
        <f>IF(UIoptions!$N$35=2,IF(AND(PCdb[[#This Row],[ROUND_D]]&gt;UIoptions!$S$15,PCdb[[#This Row],[ROUND_D]]&lt;UIoptions!$T$15),1,0),1)</f>
        <v>1</v>
      </c>
      <c r="BI218" s="38">
        <f>IF(UIoptions!$N$75&lt;&gt;1,1,IF(AND(PCdb[[#This Row],[FL]]&gt;UIoptions!$S$16,PCdb[[#This Row],[FL]]&lt;UIoptions!$T$16),1,0))</f>
        <v>0</v>
      </c>
      <c r="BJ218" s="38" t="e">
        <f>IF(OR(UIoptions!$Q$18=PCdb[[#This Row],[THRU_SCREW]],UIoptions!$Q$18="NA"),1,0)</f>
        <v>#N/A</v>
      </c>
      <c r="BK218" s="38">
        <f>IF(OR(UIoptions!$P$19=PCdb[[#This Row],[THREAD_SZ]],UIoptions!$P$19="NA"),1,0)</f>
        <v>1</v>
      </c>
      <c r="BL218" s="38">
        <f>IF(UIoptions!$N$75=1,1,IF(AND(PCdb[[#This Row],[THREAD_L]]&gt;UIoptions!$S$17,PCdb[[#This Row],[THREAD_L]]&lt;UIoptions!$T$17),1,0))</f>
        <v>1</v>
      </c>
      <c r="BM218" s="38" t="e">
        <f>IF(SUM(PCdb[[#This Row],[BDhit]:[THREAD_Lhit]])=11,1,0)</f>
        <v>#N/A</v>
      </c>
      <c r="BN21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98.4604144085NA10M6NANA4</v>
      </c>
      <c r="BO218" s="38" t="e">
        <f>SUM(PCdb[[#This Row],[BDhit]:[THREAD_Lhit]])</f>
        <v>#N/A</v>
      </c>
    </row>
    <row r="219" spans="1:67" x14ac:dyDescent="0.25">
      <c r="A219" s="7">
        <v>223</v>
      </c>
      <c r="B219" s="93">
        <v>75</v>
      </c>
      <c r="C219" s="93">
        <v>60</v>
      </c>
      <c r="D219" s="93">
        <v>4</v>
      </c>
      <c r="E219" s="93">
        <v>14</v>
      </c>
      <c r="F219" s="93">
        <v>30</v>
      </c>
      <c r="G219" s="93">
        <v>70</v>
      </c>
      <c r="H219" s="93" t="s">
        <v>87</v>
      </c>
      <c r="I219" s="93">
        <v>6.9</v>
      </c>
      <c r="J219" s="93" t="s">
        <v>45</v>
      </c>
      <c r="K219" s="93" t="s">
        <v>87</v>
      </c>
      <c r="L219" s="93" t="s">
        <v>87</v>
      </c>
      <c r="M219" s="93">
        <v>4</v>
      </c>
      <c r="N219" s="38" t="s">
        <v>45</v>
      </c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 t="s">
        <v>87</v>
      </c>
      <c r="AQ219" s="38" t="s">
        <v>87</v>
      </c>
      <c r="AR219" s="38" t="s">
        <v>130</v>
      </c>
      <c r="AS219" s="38" t="s">
        <v>676</v>
      </c>
      <c r="AT219" s="38" t="s">
        <v>87</v>
      </c>
      <c r="AU219" s="38" t="s">
        <v>87</v>
      </c>
      <c r="AV219" s="38"/>
      <c r="AW219" s="38"/>
      <c r="AX219" s="38"/>
      <c r="AY219" s="38"/>
      <c r="AZ219" s="38"/>
      <c r="BA219" s="38"/>
      <c r="BB219" s="38">
        <f>IF(AND(PCdb[[#This Row],[BCD]]&gt;UIoptions!$S$10,PCdb[[#This Row],[BCD]]&lt;UIoptions!$T$10),1,0)</f>
        <v>1</v>
      </c>
      <c r="BC219" s="38">
        <f>IF(AND(PCdb[[#This Row],[PD]]&gt;UIoptions!$S$11,PCdb[[#This Row],[PD]]&lt;UIoptions!$T$11),1,0)</f>
        <v>1</v>
      </c>
      <c r="BD219" s="38">
        <f>IF(AND(UIoptions!$P$14&lt;=PCdb[[#This Row],[PL (MAX)]],UIoptions!$P$14&gt;UIoptions!$S$14),1,0)</f>
        <v>1</v>
      </c>
      <c r="BE219" s="38">
        <f>IF(AND(PCdb[[#This Row],[SD]]&gt;UIoptions!$S$12,PCdb[[#This Row],[SD]]&lt;UIoptions!$T$12),1,0)</f>
        <v>0</v>
      </c>
      <c r="BF219" s="38">
        <f>IF(AND(PCdb[[#This Row],[SL]]&gt;UIoptions!$S$13,PCdb[[#This Row],[SL]]&lt;UIoptions!$T$13),1,0)</f>
        <v>0</v>
      </c>
      <c r="BG219" s="38">
        <f>IF(UIoptions!$N$35=1,IF(AND(PCdb[[#This Row],[SQ_SZ]]&gt;UIoptions!$S$15,PCdb[[#This Row],[SQ_SZ]]&lt;UIoptions!$T$15),1,0),1)</f>
        <v>1</v>
      </c>
      <c r="BH219" s="38">
        <f>IF(UIoptions!$N$35=2,IF(AND(PCdb[[#This Row],[ROUND_D]]&gt;UIoptions!$S$15,PCdb[[#This Row],[ROUND_D]]&lt;UIoptions!$T$15),1,0),1)</f>
        <v>1</v>
      </c>
      <c r="BI219" s="38">
        <f>IF(UIoptions!$N$75&lt;&gt;1,1,IF(AND(PCdb[[#This Row],[FL]]&gt;UIoptions!$S$16,PCdb[[#This Row],[FL]]&lt;UIoptions!$T$16),1,0))</f>
        <v>0</v>
      </c>
      <c r="BJ219" s="38" t="e">
        <f>IF(OR(UIoptions!$Q$18=PCdb[[#This Row],[THRU_SCREW]],UIoptions!$Q$18="NA"),1,0)</f>
        <v>#N/A</v>
      </c>
      <c r="BK219" s="38">
        <f>IF(OR(UIoptions!$P$19=PCdb[[#This Row],[THREAD_SZ]],UIoptions!$P$19="NA"),1,0)</f>
        <v>1</v>
      </c>
      <c r="BL219" s="38">
        <f>IF(UIoptions!$N$75=1,1,IF(AND(PCdb[[#This Row],[THREAD_L]]&gt;UIoptions!$S$17,PCdb[[#This Row],[THREAD_L]]&lt;UIoptions!$T$17),1,0))</f>
        <v>1</v>
      </c>
      <c r="BM219" s="38" t="e">
        <f>IF(SUM(PCdb[[#This Row],[BDhit]:[THREAD_Lhit]])=11,1,0)</f>
        <v>#N/A</v>
      </c>
      <c r="BN21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75604143070NA6.9M5NANA4</v>
      </c>
      <c r="BO219" s="38" t="e">
        <f>SUM(PCdb[[#This Row],[BDhit]:[THREAD_Lhit]])</f>
        <v>#N/A</v>
      </c>
    </row>
    <row r="220" spans="1:67" x14ac:dyDescent="0.25">
      <c r="A220" s="7">
        <v>224</v>
      </c>
      <c r="B220" s="93">
        <v>100</v>
      </c>
      <c r="C220" s="93">
        <v>80</v>
      </c>
      <c r="D220" s="93">
        <v>7</v>
      </c>
      <c r="E220" s="93">
        <v>14</v>
      </c>
      <c r="F220" s="93">
        <v>30</v>
      </c>
      <c r="G220" s="93">
        <v>90</v>
      </c>
      <c r="H220" s="93" t="s">
        <v>87</v>
      </c>
      <c r="I220" s="93">
        <v>7</v>
      </c>
      <c r="J220" s="93" t="s">
        <v>49</v>
      </c>
      <c r="K220" s="93" t="s">
        <v>87</v>
      </c>
      <c r="L220" s="93" t="s">
        <v>87</v>
      </c>
      <c r="M220" s="93">
        <v>4</v>
      </c>
      <c r="N220" s="38" t="s">
        <v>49</v>
      </c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 t="s">
        <v>87</v>
      </c>
      <c r="AW220" s="38" t="s">
        <v>87</v>
      </c>
      <c r="AX220" s="38" t="s">
        <v>130</v>
      </c>
      <c r="AY220" s="176" t="s">
        <v>677</v>
      </c>
      <c r="AZ220" s="38" t="s">
        <v>87</v>
      </c>
      <c r="BA220" s="38" t="s">
        <v>87</v>
      </c>
      <c r="BB220" s="38">
        <f>IF(AND(PCdb[[#This Row],[BCD]]&gt;UIoptions!$S$10,PCdb[[#This Row],[BCD]]&lt;UIoptions!$T$10),1,0)</f>
        <v>0</v>
      </c>
      <c r="BC220" s="38">
        <f>IF(AND(PCdb[[#This Row],[PD]]&gt;UIoptions!$S$11,PCdb[[#This Row],[PD]]&lt;UIoptions!$T$11),1,0)</f>
        <v>0</v>
      </c>
      <c r="BD220" s="38">
        <f>IF(AND(UIoptions!$P$14&lt;=PCdb[[#This Row],[PL (MAX)]],UIoptions!$P$14&gt;UIoptions!$S$14),1,0)</f>
        <v>1</v>
      </c>
      <c r="BE220" s="38">
        <f>IF(AND(PCdb[[#This Row],[SD]]&gt;UIoptions!$S$12,PCdb[[#This Row],[SD]]&lt;UIoptions!$T$12),1,0)</f>
        <v>0</v>
      </c>
      <c r="BF220" s="38">
        <f>IF(AND(PCdb[[#This Row],[SL]]&gt;UIoptions!$S$13,PCdb[[#This Row],[SL]]&lt;UIoptions!$T$13),1,0)</f>
        <v>0</v>
      </c>
      <c r="BG220" s="38">
        <f>IF(UIoptions!$N$35=1,IF(AND(PCdb[[#This Row],[SQ_SZ]]&gt;UIoptions!$S$15,PCdb[[#This Row],[SQ_SZ]]&lt;UIoptions!$T$15),1,0),1)</f>
        <v>0</v>
      </c>
      <c r="BH220" s="38">
        <f>IF(UIoptions!$N$35=2,IF(AND(PCdb[[#This Row],[ROUND_D]]&gt;UIoptions!$S$15,PCdb[[#This Row],[ROUND_D]]&lt;UIoptions!$T$15),1,0),1)</f>
        <v>1</v>
      </c>
      <c r="BI220" s="38">
        <f>IF(UIoptions!$N$75&lt;&gt;1,1,IF(AND(PCdb[[#This Row],[FL]]&gt;UIoptions!$S$16,PCdb[[#This Row],[FL]]&lt;UIoptions!$T$16),1,0))</f>
        <v>0</v>
      </c>
      <c r="BJ220" s="38" t="e">
        <f>IF(OR(UIoptions!$Q$18=PCdb[[#This Row],[THRU_SCREW]],UIoptions!$Q$18="NA"),1,0)</f>
        <v>#N/A</v>
      </c>
      <c r="BK220" s="38">
        <f>IF(OR(UIoptions!$P$19=PCdb[[#This Row],[THREAD_SZ]],UIoptions!$P$19="NA"),1,0)</f>
        <v>1</v>
      </c>
      <c r="BL220" s="38">
        <f>IF(UIoptions!$N$75=1,1,IF(AND(PCdb[[#This Row],[THREAD_L]]&gt;UIoptions!$S$17,PCdb[[#This Row],[THREAD_L]]&lt;UIoptions!$T$17),1,0))</f>
        <v>1</v>
      </c>
      <c r="BM220" s="38" t="e">
        <f>IF(SUM(PCdb[[#This Row],[BDhit]:[THREAD_Lhit]])=11,1,0)</f>
        <v>#N/A</v>
      </c>
      <c r="BN22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100807143090NA7M6NANA4</v>
      </c>
      <c r="BO220" s="38" t="e">
        <f>SUM(PCdb[[#This Row],[BDhit]:[THREAD_Lhit]])</f>
        <v>#N/A</v>
      </c>
    </row>
    <row r="221" spans="1:67" x14ac:dyDescent="0.25">
      <c r="A221" s="7">
        <v>225</v>
      </c>
      <c r="B221" s="93">
        <v>46</v>
      </c>
      <c r="C221" s="93">
        <v>30</v>
      </c>
      <c r="D221" s="93">
        <v>4</v>
      </c>
      <c r="E221" s="93">
        <v>8</v>
      </c>
      <c r="F221" s="93">
        <v>25</v>
      </c>
      <c r="G221" s="93">
        <v>40</v>
      </c>
      <c r="H221" s="93" t="s">
        <v>87</v>
      </c>
      <c r="I221" s="93">
        <v>5.2</v>
      </c>
      <c r="J221" s="93" t="s">
        <v>7</v>
      </c>
      <c r="K221" s="93" t="s">
        <v>87</v>
      </c>
      <c r="L221" s="93" t="s">
        <v>87</v>
      </c>
      <c r="M221" s="93">
        <v>4</v>
      </c>
      <c r="N221" s="38" t="s">
        <v>7</v>
      </c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>
        <v>17.5</v>
      </c>
      <c r="AK221" s="38" t="s">
        <v>87</v>
      </c>
      <c r="AL221" s="38" t="s">
        <v>130</v>
      </c>
      <c r="AM221" s="38" t="s">
        <v>176</v>
      </c>
      <c r="AN221" s="38">
        <v>45</v>
      </c>
      <c r="AO221" s="38">
        <v>90</v>
      </c>
      <c r="AP221" s="38"/>
      <c r="AQ221" s="38"/>
      <c r="AR221" s="38"/>
      <c r="AS221" s="38"/>
      <c r="AT221" s="38"/>
      <c r="AU221" s="38"/>
      <c r="AV221" s="38"/>
      <c r="AW221" s="38"/>
      <c r="AX221" s="38"/>
      <c r="AY221" s="178"/>
      <c r="AZ221" s="38"/>
      <c r="BA221" s="38"/>
      <c r="BB221" s="38">
        <f>IF(AND(PCdb[[#This Row],[BCD]]&gt;UIoptions!$S$10,PCdb[[#This Row],[BCD]]&lt;UIoptions!$T$10),1,0)</f>
        <v>0</v>
      </c>
      <c r="BC221" s="38">
        <f>IF(AND(PCdb[[#This Row],[PD]]&gt;UIoptions!$S$11,PCdb[[#This Row],[PD]]&lt;UIoptions!$T$11),1,0)</f>
        <v>0</v>
      </c>
      <c r="BD221" s="38">
        <f>IF(AND(UIoptions!$P$14&lt;=PCdb[[#This Row],[PL (MAX)]],UIoptions!$P$14&gt;UIoptions!$S$14),1,0)</f>
        <v>1</v>
      </c>
      <c r="BE221" s="38">
        <f>IF(AND(PCdb[[#This Row],[SD]]&gt;UIoptions!$S$12,PCdb[[#This Row],[SD]]&lt;UIoptions!$T$12),1,0)</f>
        <v>0</v>
      </c>
      <c r="BF221" s="38">
        <f>IF(AND(PCdb[[#This Row],[SL]]&gt;UIoptions!$S$13,PCdb[[#This Row],[SL]]&lt;UIoptions!$T$13),1,0)</f>
        <v>0</v>
      </c>
      <c r="BG221" s="38">
        <f>IF(UIoptions!$N$35=1,IF(AND(PCdb[[#This Row],[SQ_SZ]]&gt;UIoptions!$S$15,PCdb[[#This Row],[SQ_SZ]]&lt;UIoptions!$T$15),1,0),1)</f>
        <v>0</v>
      </c>
      <c r="BH221" s="38">
        <f>IF(UIoptions!$N$35=2,IF(AND(PCdb[[#This Row],[ROUND_D]]&gt;UIoptions!$S$15,PCdb[[#This Row],[ROUND_D]]&lt;UIoptions!$T$15),1,0),1)</f>
        <v>1</v>
      </c>
      <c r="BI221" s="38">
        <f>IF(UIoptions!$N$75&lt;&gt;1,1,IF(AND(PCdb[[#This Row],[FL]]&gt;UIoptions!$S$16,PCdb[[#This Row],[FL]]&lt;UIoptions!$T$16),1,0))</f>
        <v>0</v>
      </c>
      <c r="BJ221" s="38" t="e">
        <f>IF(OR(UIoptions!$Q$18=PCdb[[#This Row],[THRU_SCREW]],UIoptions!$Q$18="NA"),1,0)</f>
        <v>#N/A</v>
      </c>
      <c r="BK221" s="38">
        <f>IF(OR(UIoptions!$P$19=PCdb[[#This Row],[THREAD_SZ]],UIoptions!$P$19="NA"),1,0)</f>
        <v>1</v>
      </c>
      <c r="BL221" s="38">
        <f>IF(UIoptions!$N$75=1,1,IF(AND(PCdb[[#This Row],[THREAD_L]]&gt;UIoptions!$S$17,PCdb[[#This Row],[THREAD_L]]&lt;UIoptions!$T$17),1,0))</f>
        <v>1</v>
      </c>
      <c r="BM221" s="38" t="e">
        <f>IF(SUM(PCdb[[#This Row],[BDhit]:[THREAD_Lhit]])=11,1,0)</f>
        <v>#N/A</v>
      </c>
      <c r="BN22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4630482540NA5.2M4NANA4</v>
      </c>
      <c r="BO221" s="38" t="e">
        <f>SUM(PCdb[[#This Row],[BDhit]:[THREAD_Lhit]])</f>
        <v>#N/A</v>
      </c>
    </row>
    <row r="222" spans="1:67" x14ac:dyDescent="0.25">
      <c r="A222" s="7">
        <v>226</v>
      </c>
      <c r="B222" s="93">
        <v>100</v>
      </c>
      <c r="C222" s="93">
        <v>80</v>
      </c>
      <c r="D222" s="93">
        <v>4</v>
      </c>
      <c r="E222" s="93">
        <v>19</v>
      </c>
      <c r="F222" s="93">
        <v>40</v>
      </c>
      <c r="G222" s="93">
        <v>84</v>
      </c>
      <c r="H222" s="93" t="s">
        <v>87</v>
      </c>
      <c r="I222" s="93">
        <v>8</v>
      </c>
      <c r="J222" s="93" t="s">
        <v>49</v>
      </c>
      <c r="K222" s="93" t="s">
        <v>87</v>
      </c>
      <c r="L222" s="93" t="s">
        <v>87</v>
      </c>
      <c r="M222" s="93">
        <v>4</v>
      </c>
      <c r="N222" s="38" t="s">
        <v>49</v>
      </c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>
        <v>45.2</v>
      </c>
      <c r="AD222" s="38">
        <v>41.5</v>
      </c>
      <c r="AE222" s="38" t="s">
        <v>87</v>
      </c>
      <c r="AF222" s="38" t="s">
        <v>130</v>
      </c>
      <c r="AG222" s="38" t="s">
        <v>172</v>
      </c>
      <c r="AH222" s="38">
        <v>45</v>
      </c>
      <c r="AI222" s="38">
        <v>90</v>
      </c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>
        <f>IF(AND(PCdb[[#This Row],[BCD]]&gt;UIoptions!$S$10,PCdb[[#This Row],[BCD]]&lt;UIoptions!$T$10),1,0)</f>
        <v>0</v>
      </c>
      <c r="BC222" s="38">
        <f>IF(AND(PCdb[[#This Row],[PD]]&gt;UIoptions!$S$11,PCdb[[#This Row],[PD]]&lt;UIoptions!$T$11),1,0)</f>
        <v>0</v>
      </c>
      <c r="BD222" s="38">
        <f>IF(AND(UIoptions!$P$14&lt;=PCdb[[#This Row],[PL (MAX)]],UIoptions!$P$14&gt;UIoptions!$S$14),1,0)</f>
        <v>1</v>
      </c>
      <c r="BE222" s="38">
        <f>IF(AND(PCdb[[#This Row],[SD]]&gt;UIoptions!$S$12,PCdb[[#This Row],[SD]]&lt;UIoptions!$T$12),1,0)</f>
        <v>0</v>
      </c>
      <c r="BF222" s="38">
        <f>IF(AND(PCdb[[#This Row],[SL]]&gt;UIoptions!$S$13,PCdb[[#This Row],[SL]]&lt;UIoptions!$T$13),1,0)</f>
        <v>0</v>
      </c>
      <c r="BG222" s="38">
        <f>IF(UIoptions!$N$35=1,IF(AND(PCdb[[#This Row],[SQ_SZ]]&gt;UIoptions!$S$15,PCdb[[#This Row],[SQ_SZ]]&lt;UIoptions!$T$15),1,0),1)</f>
        <v>0</v>
      </c>
      <c r="BH222" s="38">
        <f>IF(UIoptions!$N$35=2,IF(AND(PCdb[[#This Row],[ROUND_D]]&gt;UIoptions!$S$15,PCdb[[#This Row],[ROUND_D]]&lt;UIoptions!$T$15),1,0),1)</f>
        <v>1</v>
      </c>
      <c r="BI222" s="38">
        <f>IF(UIoptions!$N$75&lt;&gt;1,1,IF(AND(PCdb[[#This Row],[FL]]&gt;UIoptions!$S$16,PCdb[[#This Row],[FL]]&lt;UIoptions!$T$16),1,0))</f>
        <v>0</v>
      </c>
      <c r="BJ222" s="38" t="e">
        <f>IF(OR(UIoptions!$Q$18=PCdb[[#This Row],[THRU_SCREW]],UIoptions!$Q$18="NA"),1,0)</f>
        <v>#N/A</v>
      </c>
      <c r="BK222" s="38">
        <f>IF(OR(UIoptions!$P$19=PCdb[[#This Row],[THREAD_SZ]],UIoptions!$P$19="NA"),1,0)</f>
        <v>1</v>
      </c>
      <c r="BL222" s="38">
        <f>IF(UIoptions!$N$75=1,1,IF(AND(PCdb[[#This Row],[THREAD_L]]&gt;UIoptions!$S$17,PCdb[[#This Row],[THREAD_L]]&lt;UIoptions!$T$17),1,0))</f>
        <v>1</v>
      </c>
      <c r="BM222" s="38" t="e">
        <f>IF(SUM(PCdb[[#This Row],[BDhit]:[THREAD_Lhit]])=11,1,0)</f>
        <v>#N/A</v>
      </c>
      <c r="BN22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100804194084NA8M6NANA4</v>
      </c>
      <c r="BO222" s="38" t="e">
        <f>SUM(PCdb[[#This Row],[BDhit]:[THREAD_Lhit]])</f>
        <v>#N/A</v>
      </c>
    </row>
    <row r="223" spans="1:67" x14ac:dyDescent="0.25">
      <c r="A223" s="7">
        <v>227</v>
      </c>
      <c r="B223" s="93">
        <v>46</v>
      </c>
      <c r="C223" s="93">
        <v>30</v>
      </c>
      <c r="D223" s="93">
        <v>4</v>
      </c>
      <c r="E223" s="93">
        <v>8</v>
      </c>
      <c r="F223" s="93">
        <v>18</v>
      </c>
      <c r="G223" s="93">
        <v>40</v>
      </c>
      <c r="H223" s="93" t="s">
        <v>87</v>
      </c>
      <c r="I223" s="93">
        <v>7</v>
      </c>
      <c r="J223" s="93" t="s">
        <v>7</v>
      </c>
      <c r="K223" s="93" t="s">
        <v>87</v>
      </c>
      <c r="L223" s="93" t="s">
        <v>87</v>
      </c>
      <c r="M223" s="93">
        <v>4</v>
      </c>
      <c r="N223" s="38" t="s">
        <v>7</v>
      </c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>
        <v>17.5</v>
      </c>
      <c r="AK223" s="38">
        <v>0</v>
      </c>
      <c r="AL223" s="38" t="s">
        <v>130</v>
      </c>
      <c r="AM223" s="38" t="s">
        <v>176</v>
      </c>
      <c r="AN223" s="38">
        <v>45</v>
      </c>
      <c r="AO223" s="38">
        <v>90</v>
      </c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>
        <f>IF(AND(PCdb[[#This Row],[BCD]]&gt;UIoptions!$S$10,PCdb[[#This Row],[BCD]]&lt;UIoptions!$T$10),1,0)</f>
        <v>0</v>
      </c>
      <c r="BC223" s="38">
        <f>IF(AND(PCdb[[#This Row],[PD]]&gt;UIoptions!$S$11,PCdb[[#This Row],[PD]]&lt;UIoptions!$T$11),1,0)</f>
        <v>0</v>
      </c>
      <c r="BD223" s="38">
        <f>IF(AND(UIoptions!$P$14&lt;=PCdb[[#This Row],[PL (MAX)]],UIoptions!$P$14&gt;UIoptions!$S$14),1,0)</f>
        <v>1</v>
      </c>
      <c r="BE223" s="38">
        <f>IF(AND(PCdb[[#This Row],[SD]]&gt;UIoptions!$S$12,PCdb[[#This Row],[SD]]&lt;UIoptions!$T$12),1,0)</f>
        <v>0</v>
      </c>
      <c r="BF223" s="38">
        <f>IF(AND(PCdb[[#This Row],[SL]]&gt;UIoptions!$S$13,PCdb[[#This Row],[SL]]&lt;UIoptions!$T$13),1,0)</f>
        <v>0</v>
      </c>
      <c r="BG223" s="38">
        <f>IF(UIoptions!$N$35=1,IF(AND(PCdb[[#This Row],[SQ_SZ]]&gt;UIoptions!$S$15,PCdb[[#This Row],[SQ_SZ]]&lt;UIoptions!$T$15),1,0),1)</f>
        <v>0</v>
      </c>
      <c r="BH223" s="38">
        <f>IF(UIoptions!$N$35=2,IF(AND(PCdb[[#This Row],[ROUND_D]]&gt;UIoptions!$S$15,PCdb[[#This Row],[ROUND_D]]&lt;UIoptions!$T$15),1,0),1)</f>
        <v>1</v>
      </c>
      <c r="BI223" s="38">
        <f>IF(UIoptions!$N$75&lt;&gt;1,1,IF(AND(PCdb[[#This Row],[FL]]&gt;UIoptions!$S$16,PCdb[[#This Row],[FL]]&lt;UIoptions!$T$16),1,0))</f>
        <v>0</v>
      </c>
      <c r="BJ223" s="38" t="e">
        <f>IF(OR(UIoptions!$Q$18=PCdb[[#This Row],[THRU_SCREW]],UIoptions!$Q$18="NA"),1,0)</f>
        <v>#N/A</v>
      </c>
      <c r="BK223" s="38">
        <f>IF(OR(UIoptions!$P$19=PCdb[[#This Row],[THREAD_SZ]],UIoptions!$P$19="NA"),1,0)</f>
        <v>1</v>
      </c>
      <c r="BL223" s="38">
        <f>IF(UIoptions!$N$75=1,1,IF(AND(PCdb[[#This Row],[THREAD_L]]&gt;UIoptions!$S$17,PCdb[[#This Row],[THREAD_L]]&lt;UIoptions!$T$17),1,0))</f>
        <v>1</v>
      </c>
      <c r="BM223" s="38" t="e">
        <f>IF(SUM(PCdb[[#This Row],[BDhit]:[THREAD_Lhit]])=11,1,0)</f>
        <v>#N/A</v>
      </c>
      <c r="BN22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4630481840NA7M4NANA4</v>
      </c>
      <c r="BO223" s="38" t="e">
        <f>SUM(PCdb[[#This Row],[BDhit]:[THREAD_Lhit]])</f>
        <v>#N/A</v>
      </c>
    </row>
    <row r="224" spans="1:67" x14ac:dyDescent="0.25">
      <c r="A224" s="7">
        <v>228</v>
      </c>
      <c r="B224" s="93">
        <v>66.7</v>
      </c>
      <c r="C224" s="93">
        <v>38.1</v>
      </c>
      <c r="D224" s="93">
        <v>4</v>
      </c>
      <c r="E224" s="93">
        <v>6.35</v>
      </c>
      <c r="F224" s="93">
        <v>25.4</v>
      </c>
      <c r="G224" s="93">
        <v>57.2</v>
      </c>
      <c r="H224" s="93" t="s">
        <v>87</v>
      </c>
      <c r="I224" s="93">
        <v>5.2</v>
      </c>
      <c r="J224" s="93" t="s">
        <v>7</v>
      </c>
      <c r="K224" s="93" t="s">
        <v>87</v>
      </c>
      <c r="L224" s="93" t="s">
        <v>87</v>
      </c>
      <c r="M224" s="93">
        <v>4</v>
      </c>
      <c r="N224" s="38" t="s">
        <v>7</v>
      </c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>
        <v>22</v>
      </c>
      <c r="AQ224" s="38">
        <v>0</v>
      </c>
      <c r="AR224" s="38" t="s">
        <v>130</v>
      </c>
      <c r="AS224" s="38" t="s">
        <v>176</v>
      </c>
      <c r="AT224" s="38">
        <v>45</v>
      </c>
      <c r="AU224" s="38">
        <v>90</v>
      </c>
      <c r="AV224" s="38"/>
      <c r="AW224" s="38"/>
      <c r="AX224" s="38"/>
      <c r="AY224" s="38"/>
      <c r="AZ224" s="38"/>
      <c r="BA224" s="38"/>
      <c r="BB224" s="38">
        <f>IF(AND(PCdb[[#This Row],[BCD]]&gt;UIoptions!$S$10,PCdb[[#This Row],[BCD]]&lt;UIoptions!$T$10),1,0)</f>
        <v>0</v>
      </c>
      <c r="BC224" s="38">
        <f>IF(AND(PCdb[[#This Row],[PD]]&gt;UIoptions!$S$11,PCdb[[#This Row],[PD]]&lt;UIoptions!$T$11),1,0)</f>
        <v>0</v>
      </c>
      <c r="BD224" s="38">
        <f>IF(AND(UIoptions!$P$14&lt;=PCdb[[#This Row],[PL (MAX)]],UIoptions!$P$14&gt;UIoptions!$S$14),1,0)</f>
        <v>1</v>
      </c>
      <c r="BE224" s="38">
        <f>IF(AND(PCdb[[#This Row],[SD]]&gt;UIoptions!$S$12,PCdb[[#This Row],[SD]]&lt;UIoptions!$T$12),1,0)</f>
        <v>0</v>
      </c>
      <c r="BF224" s="38">
        <f>IF(AND(PCdb[[#This Row],[SL]]&gt;UIoptions!$S$13,PCdb[[#This Row],[SL]]&lt;UIoptions!$T$13),1,0)</f>
        <v>0</v>
      </c>
      <c r="BG224" s="38">
        <f>IF(UIoptions!$N$35=1,IF(AND(PCdb[[#This Row],[SQ_SZ]]&gt;UIoptions!$S$15,PCdb[[#This Row],[SQ_SZ]]&lt;UIoptions!$T$15),1,0),1)</f>
        <v>0</v>
      </c>
      <c r="BH224" s="38">
        <f>IF(UIoptions!$N$35=2,IF(AND(PCdb[[#This Row],[ROUND_D]]&gt;UIoptions!$S$15,PCdb[[#This Row],[ROUND_D]]&lt;UIoptions!$T$15),1,0),1)</f>
        <v>1</v>
      </c>
      <c r="BI224" s="38">
        <f>IF(UIoptions!$N$75&lt;&gt;1,1,IF(AND(PCdb[[#This Row],[FL]]&gt;UIoptions!$S$16,PCdb[[#This Row],[FL]]&lt;UIoptions!$T$16),1,0))</f>
        <v>0</v>
      </c>
      <c r="BJ224" s="38" t="e">
        <f>IF(OR(UIoptions!$Q$18=PCdb[[#This Row],[THRU_SCREW]],UIoptions!$Q$18="NA"),1,0)</f>
        <v>#N/A</v>
      </c>
      <c r="BK224" s="38">
        <f>IF(OR(UIoptions!$P$19=PCdb[[#This Row],[THREAD_SZ]],UIoptions!$P$19="NA"),1,0)</f>
        <v>1</v>
      </c>
      <c r="BL224" s="38">
        <f>IF(UIoptions!$N$75=1,1,IF(AND(PCdb[[#This Row],[THREAD_L]]&gt;UIoptions!$S$17,PCdb[[#This Row],[THREAD_L]]&lt;UIoptions!$T$17),1,0))</f>
        <v>1</v>
      </c>
      <c r="BM224" s="38" t="e">
        <f>IF(SUM(PCdb[[#This Row],[BDhit]:[THREAD_Lhit]])=11,1,0)</f>
        <v>#N/A</v>
      </c>
      <c r="BN22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66.738.146.3525.457.2NA5.2M4NANA4</v>
      </c>
      <c r="BO224" s="38" t="e">
        <f>SUM(PCdb[[#This Row],[BDhit]:[THREAD_Lhit]])</f>
        <v>#N/A</v>
      </c>
    </row>
    <row r="225" spans="1:67" x14ac:dyDescent="0.25">
      <c r="A225" s="7">
        <v>229</v>
      </c>
      <c r="B225" s="93">
        <v>66.599999999999994</v>
      </c>
      <c r="C225" s="93">
        <v>38.1</v>
      </c>
      <c r="D225" s="93">
        <v>4</v>
      </c>
      <c r="E225" s="93">
        <v>6.35</v>
      </c>
      <c r="F225" s="93">
        <v>20.6</v>
      </c>
      <c r="G225" s="93">
        <v>56.2</v>
      </c>
      <c r="H225" s="93" t="s">
        <v>87</v>
      </c>
      <c r="I225" s="93">
        <v>5</v>
      </c>
      <c r="J225" s="93" t="s">
        <v>7</v>
      </c>
      <c r="K225" s="93" t="s">
        <v>87</v>
      </c>
      <c r="L225" s="93" t="s">
        <v>87</v>
      </c>
      <c r="M225" s="93">
        <v>4</v>
      </c>
      <c r="N225" s="38" t="s">
        <v>7</v>
      </c>
      <c r="O225" s="38">
        <v>38.700000000000003</v>
      </c>
      <c r="P225" s="38">
        <v>22</v>
      </c>
      <c r="Q225" s="38">
        <v>0</v>
      </c>
      <c r="R225" s="38" t="s">
        <v>130</v>
      </c>
      <c r="S225" s="38" t="s">
        <v>172</v>
      </c>
      <c r="T225" s="38">
        <v>45</v>
      </c>
      <c r="U225" s="38">
        <v>90</v>
      </c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>
        <f>IF(AND(PCdb[[#This Row],[BCD]]&gt;UIoptions!$S$10,PCdb[[#This Row],[BCD]]&lt;UIoptions!$T$10),1,0)</f>
        <v>0</v>
      </c>
      <c r="BC225" s="38">
        <f>IF(AND(PCdb[[#This Row],[PD]]&gt;UIoptions!$S$11,PCdb[[#This Row],[PD]]&lt;UIoptions!$T$11),1,0)</f>
        <v>0</v>
      </c>
      <c r="BD225" s="38">
        <f>IF(AND(UIoptions!$P$14&lt;=PCdb[[#This Row],[PL (MAX)]],UIoptions!$P$14&gt;UIoptions!$S$14),1,0)</f>
        <v>1</v>
      </c>
      <c r="BE225" s="38">
        <f>IF(AND(PCdb[[#This Row],[SD]]&gt;UIoptions!$S$12,PCdb[[#This Row],[SD]]&lt;UIoptions!$T$12),1,0)</f>
        <v>0</v>
      </c>
      <c r="BF225" s="38">
        <f>IF(AND(PCdb[[#This Row],[SL]]&gt;UIoptions!$S$13,PCdb[[#This Row],[SL]]&lt;UIoptions!$T$13),1,0)</f>
        <v>0</v>
      </c>
      <c r="BG225" s="38">
        <f>IF(UIoptions!$N$35=1,IF(AND(PCdb[[#This Row],[SQ_SZ]]&gt;UIoptions!$S$15,PCdb[[#This Row],[SQ_SZ]]&lt;UIoptions!$T$15),1,0),1)</f>
        <v>0</v>
      </c>
      <c r="BH225" s="38">
        <f>IF(UIoptions!$N$35=2,IF(AND(PCdb[[#This Row],[ROUND_D]]&gt;UIoptions!$S$15,PCdb[[#This Row],[ROUND_D]]&lt;UIoptions!$T$15),1,0),1)</f>
        <v>1</v>
      </c>
      <c r="BI225" s="38">
        <f>IF(UIoptions!$N$75&lt;&gt;1,1,IF(AND(PCdb[[#This Row],[FL]]&gt;UIoptions!$S$16,PCdb[[#This Row],[FL]]&lt;UIoptions!$T$16),1,0))</f>
        <v>0</v>
      </c>
      <c r="BJ225" s="38" t="e">
        <f>IF(OR(UIoptions!$Q$18=PCdb[[#This Row],[THRU_SCREW]],UIoptions!$Q$18="NA"),1,0)</f>
        <v>#N/A</v>
      </c>
      <c r="BK225" s="38">
        <f>IF(OR(UIoptions!$P$19=PCdb[[#This Row],[THREAD_SZ]],UIoptions!$P$19="NA"),1,0)</f>
        <v>1</v>
      </c>
      <c r="BL225" s="38">
        <f>IF(UIoptions!$N$75=1,1,IF(AND(PCdb[[#This Row],[THREAD_L]]&gt;UIoptions!$S$17,PCdb[[#This Row],[THREAD_L]]&lt;UIoptions!$T$17),1,0))</f>
        <v>1</v>
      </c>
      <c r="BM225" s="38" t="e">
        <f>IF(SUM(PCdb[[#This Row],[BDhit]:[THREAD_Lhit]])=11,1,0)</f>
        <v>#N/A</v>
      </c>
      <c r="BN22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66.638.146.3520.656.2NA5M4NANA4</v>
      </c>
      <c r="BO225" s="38" t="e">
        <f>SUM(PCdb[[#This Row],[BDhit]:[THREAD_Lhit]])</f>
        <v>#N/A</v>
      </c>
    </row>
    <row r="226" spans="1:67" x14ac:dyDescent="0.25">
      <c r="A226" s="7">
        <v>230</v>
      </c>
      <c r="B226" s="93">
        <v>66.7</v>
      </c>
      <c r="C226" s="93">
        <v>40</v>
      </c>
      <c r="D226" s="93">
        <v>4</v>
      </c>
      <c r="E226" s="93">
        <v>14</v>
      </c>
      <c r="F226" s="93">
        <v>30</v>
      </c>
      <c r="G226" s="93">
        <v>60</v>
      </c>
      <c r="H226" s="93" t="s">
        <v>87</v>
      </c>
      <c r="I226" s="93">
        <v>8</v>
      </c>
      <c r="J226" s="93" t="s">
        <v>45</v>
      </c>
      <c r="K226" s="93" t="s">
        <v>87</v>
      </c>
      <c r="L226" s="93" t="s">
        <v>87</v>
      </c>
      <c r="M226" s="93">
        <v>4</v>
      </c>
      <c r="N226" s="38" t="s">
        <v>45</v>
      </c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>
        <v>25</v>
      </c>
      <c r="AQ226" s="38">
        <v>0</v>
      </c>
      <c r="AR226" s="38" t="s">
        <v>130</v>
      </c>
      <c r="AS226" s="38" t="s">
        <v>176</v>
      </c>
      <c r="AT226" s="38">
        <v>45</v>
      </c>
      <c r="AU226" s="38">
        <v>90</v>
      </c>
      <c r="AV226" s="38"/>
      <c r="AW226" s="38"/>
      <c r="AX226" s="38"/>
      <c r="AY226" s="38"/>
      <c r="AZ226" s="38"/>
      <c r="BA226" s="38"/>
      <c r="BB226" s="38">
        <f>IF(AND(PCdb[[#This Row],[BCD]]&gt;UIoptions!$S$10,PCdb[[#This Row],[BCD]]&lt;UIoptions!$T$10),1,0)</f>
        <v>0</v>
      </c>
      <c r="BC226" s="38">
        <f>IF(AND(PCdb[[#This Row],[PD]]&gt;UIoptions!$S$11,PCdb[[#This Row],[PD]]&lt;UIoptions!$T$11),1,0)</f>
        <v>0</v>
      </c>
      <c r="BD226" s="38">
        <f>IF(AND(UIoptions!$P$14&lt;=PCdb[[#This Row],[PL (MAX)]],UIoptions!$P$14&gt;UIoptions!$S$14),1,0)</f>
        <v>1</v>
      </c>
      <c r="BE226" s="38">
        <f>IF(AND(PCdb[[#This Row],[SD]]&gt;UIoptions!$S$12,PCdb[[#This Row],[SD]]&lt;UIoptions!$T$12),1,0)</f>
        <v>0</v>
      </c>
      <c r="BF226" s="38">
        <f>IF(AND(PCdb[[#This Row],[SL]]&gt;UIoptions!$S$13,PCdb[[#This Row],[SL]]&lt;UIoptions!$T$13),1,0)</f>
        <v>0</v>
      </c>
      <c r="BG226" s="38">
        <f>IF(UIoptions!$N$35=1,IF(AND(PCdb[[#This Row],[SQ_SZ]]&gt;UIoptions!$S$15,PCdb[[#This Row],[SQ_SZ]]&lt;UIoptions!$T$15),1,0),1)</f>
        <v>0</v>
      </c>
      <c r="BH226" s="38">
        <f>IF(UIoptions!$N$35=2,IF(AND(PCdb[[#This Row],[ROUND_D]]&gt;UIoptions!$S$15,PCdb[[#This Row],[ROUND_D]]&lt;UIoptions!$T$15),1,0),1)</f>
        <v>1</v>
      </c>
      <c r="BI226" s="38">
        <f>IF(UIoptions!$N$75&lt;&gt;1,1,IF(AND(PCdb[[#This Row],[FL]]&gt;UIoptions!$S$16,PCdb[[#This Row],[FL]]&lt;UIoptions!$T$16),1,0))</f>
        <v>0</v>
      </c>
      <c r="BJ226" s="38" t="e">
        <f>IF(OR(UIoptions!$Q$18=PCdb[[#This Row],[THRU_SCREW]],UIoptions!$Q$18="NA"),1,0)</f>
        <v>#N/A</v>
      </c>
      <c r="BK226" s="38">
        <f>IF(OR(UIoptions!$P$19=PCdb[[#This Row],[THREAD_SZ]],UIoptions!$P$19="NA"),1,0)</f>
        <v>1</v>
      </c>
      <c r="BL226" s="38">
        <f>IF(UIoptions!$N$75=1,1,IF(AND(PCdb[[#This Row],[THREAD_L]]&gt;UIoptions!$S$17,PCdb[[#This Row],[THREAD_L]]&lt;UIoptions!$T$17),1,0))</f>
        <v>1</v>
      </c>
      <c r="BM226" s="38" t="e">
        <f>IF(SUM(PCdb[[#This Row],[BDhit]:[THREAD_Lhit]])=11,1,0)</f>
        <v>#N/A</v>
      </c>
      <c r="BN22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66.7404143060NA8M5NANA4</v>
      </c>
      <c r="BO226" s="38" t="e">
        <f>SUM(PCdb[[#This Row],[BDhit]:[THREAD_Lhit]])</f>
        <v>#N/A</v>
      </c>
    </row>
    <row r="227" spans="1:67" x14ac:dyDescent="0.25">
      <c r="A227" s="7">
        <v>231</v>
      </c>
      <c r="B227" s="93">
        <v>70</v>
      </c>
      <c r="C227" s="93">
        <v>50</v>
      </c>
      <c r="D227" s="93">
        <v>4</v>
      </c>
      <c r="E227" s="93">
        <v>14</v>
      </c>
      <c r="F227" s="93">
        <v>35</v>
      </c>
      <c r="G227" s="93">
        <v>60</v>
      </c>
      <c r="H227" s="93" t="s">
        <v>87</v>
      </c>
      <c r="I227" s="93">
        <v>8</v>
      </c>
      <c r="J227" s="93" t="s">
        <v>45</v>
      </c>
      <c r="K227" s="93" t="s">
        <v>87</v>
      </c>
      <c r="L227" s="93" t="s">
        <v>87</v>
      </c>
      <c r="M227" s="93">
        <v>4</v>
      </c>
      <c r="N227" s="38" t="s">
        <v>45</v>
      </c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25">
        <v>48.7</v>
      </c>
      <c r="AD227" s="38" t="s">
        <v>87</v>
      </c>
      <c r="AE227" s="38">
        <v>55</v>
      </c>
      <c r="AF227" s="38" t="s">
        <v>130</v>
      </c>
      <c r="AG227" s="38" t="s">
        <v>171</v>
      </c>
      <c r="AH227" s="38">
        <v>45</v>
      </c>
      <c r="AI227" s="38">
        <v>90</v>
      </c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>
        <v>28</v>
      </c>
      <c r="AW227" s="38" t="s">
        <v>87</v>
      </c>
      <c r="AX227" s="38" t="s">
        <v>130</v>
      </c>
      <c r="AY227" s="38" t="s">
        <v>176</v>
      </c>
      <c r="AZ227" s="38">
        <v>45</v>
      </c>
      <c r="BA227" s="38">
        <v>90</v>
      </c>
      <c r="BB227" s="38">
        <f>IF(AND(PCdb[[#This Row],[BCD]]&gt;UIoptions!$S$10,PCdb[[#This Row],[BCD]]&lt;UIoptions!$T$10),1,0)</f>
        <v>0</v>
      </c>
      <c r="BC227" s="38">
        <f>IF(AND(PCdb[[#This Row],[PD]]&gt;UIoptions!$S$11,PCdb[[#This Row],[PD]]&lt;UIoptions!$T$11),1,0)</f>
        <v>0</v>
      </c>
      <c r="BD227" s="38">
        <f>IF(AND(UIoptions!$P$14&lt;=PCdb[[#This Row],[PL (MAX)]],UIoptions!$P$14&gt;UIoptions!$S$14),1,0)</f>
        <v>1</v>
      </c>
      <c r="BE227" s="38">
        <f>IF(AND(PCdb[[#This Row],[SD]]&gt;UIoptions!$S$12,PCdb[[#This Row],[SD]]&lt;UIoptions!$T$12),1,0)</f>
        <v>0</v>
      </c>
      <c r="BF227" s="38">
        <f>IF(AND(PCdb[[#This Row],[SL]]&gt;UIoptions!$S$13,PCdb[[#This Row],[SL]]&lt;UIoptions!$T$13),1,0)</f>
        <v>0</v>
      </c>
      <c r="BG227" s="38">
        <f>IF(UIoptions!$N$35=1,IF(AND(PCdb[[#This Row],[SQ_SZ]]&gt;UIoptions!$S$15,PCdb[[#This Row],[SQ_SZ]]&lt;UIoptions!$T$15),1,0),1)</f>
        <v>0</v>
      </c>
      <c r="BH227" s="38">
        <f>IF(UIoptions!$N$35=2,IF(AND(PCdb[[#This Row],[ROUND_D]]&gt;UIoptions!$S$15,PCdb[[#This Row],[ROUND_D]]&lt;UIoptions!$T$15),1,0),1)</f>
        <v>1</v>
      </c>
      <c r="BI227" s="38">
        <f>IF(UIoptions!$N$75&lt;&gt;1,1,IF(AND(PCdb[[#This Row],[FL]]&gt;UIoptions!$S$16,PCdb[[#This Row],[FL]]&lt;UIoptions!$T$16),1,0))</f>
        <v>0</v>
      </c>
      <c r="BJ227" s="38" t="e">
        <f>IF(OR(UIoptions!$Q$18=PCdb[[#This Row],[THRU_SCREW]],UIoptions!$Q$18="NA"),1,0)</f>
        <v>#N/A</v>
      </c>
      <c r="BK227" s="38">
        <f>IF(OR(UIoptions!$P$19=PCdb[[#This Row],[THREAD_SZ]],UIoptions!$P$19="NA"),1,0)</f>
        <v>1</v>
      </c>
      <c r="BL227" s="38">
        <f>IF(UIoptions!$N$75=1,1,IF(AND(PCdb[[#This Row],[THREAD_L]]&gt;UIoptions!$S$17,PCdb[[#This Row],[THREAD_L]]&lt;UIoptions!$T$17),1,0))</f>
        <v>1</v>
      </c>
      <c r="BM227" s="38" t="e">
        <f>IF(SUM(PCdb[[#This Row],[BDhit]:[THREAD_Lhit]])=11,1,0)</f>
        <v>#N/A</v>
      </c>
      <c r="BN22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70504143560NA8M5NANA4</v>
      </c>
      <c r="BO227" s="38" t="e">
        <f>SUM(PCdb[[#This Row],[BDhit]:[THREAD_Lhit]])</f>
        <v>#N/A</v>
      </c>
    </row>
    <row r="228" spans="1:67" x14ac:dyDescent="0.25">
      <c r="A228" s="7">
        <v>232</v>
      </c>
      <c r="B228" s="93">
        <v>66.7</v>
      </c>
      <c r="C228" s="93">
        <v>38.1</v>
      </c>
      <c r="D228" s="93">
        <v>4</v>
      </c>
      <c r="E228" s="93">
        <v>6.35</v>
      </c>
      <c r="F228" s="93">
        <v>20</v>
      </c>
      <c r="G228" s="93">
        <v>57</v>
      </c>
      <c r="H228" s="93" t="s">
        <v>87</v>
      </c>
      <c r="I228" s="93">
        <v>7.6</v>
      </c>
      <c r="J228" s="93" t="s">
        <v>45</v>
      </c>
      <c r="K228" s="93" t="s">
        <v>87</v>
      </c>
      <c r="L228" s="93" t="s">
        <v>87</v>
      </c>
      <c r="M228" s="93">
        <v>4</v>
      </c>
      <c r="N228" s="38" t="s">
        <v>45</v>
      </c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>
        <v>24</v>
      </c>
      <c r="AQ228" s="38" t="s">
        <v>87</v>
      </c>
      <c r="AR228" s="38" t="s">
        <v>130</v>
      </c>
      <c r="AS228" s="38" t="s">
        <v>176</v>
      </c>
      <c r="AT228" s="38">
        <v>45</v>
      </c>
      <c r="AU228" s="38">
        <v>90</v>
      </c>
      <c r="AV228" s="38"/>
      <c r="AW228" s="38"/>
      <c r="AX228" s="38"/>
      <c r="AY228" s="38"/>
      <c r="AZ228" s="38"/>
      <c r="BA228" s="38"/>
      <c r="BB228" s="38">
        <f>IF(AND(PCdb[[#This Row],[BCD]]&gt;UIoptions!$S$10,PCdb[[#This Row],[BCD]]&lt;UIoptions!$T$10),1,0)</f>
        <v>0</v>
      </c>
      <c r="BC228" s="38">
        <f>IF(AND(PCdb[[#This Row],[PD]]&gt;UIoptions!$S$11,PCdb[[#This Row],[PD]]&lt;UIoptions!$T$11),1,0)</f>
        <v>0</v>
      </c>
      <c r="BD228" s="38">
        <f>IF(AND(UIoptions!$P$14&lt;=PCdb[[#This Row],[PL (MAX)]],UIoptions!$P$14&gt;UIoptions!$S$14),1,0)</f>
        <v>1</v>
      </c>
      <c r="BE228" s="38">
        <f>IF(AND(PCdb[[#This Row],[SD]]&gt;UIoptions!$S$12,PCdb[[#This Row],[SD]]&lt;UIoptions!$T$12),1,0)</f>
        <v>0</v>
      </c>
      <c r="BF228" s="38">
        <f>IF(AND(PCdb[[#This Row],[SL]]&gt;UIoptions!$S$13,PCdb[[#This Row],[SL]]&lt;UIoptions!$T$13),1,0)</f>
        <v>0</v>
      </c>
      <c r="BG228" s="38">
        <f>IF(UIoptions!$N$35=1,IF(AND(PCdb[[#This Row],[SQ_SZ]]&gt;UIoptions!$S$15,PCdb[[#This Row],[SQ_SZ]]&lt;UIoptions!$T$15),1,0),1)</f>
        <v>0</v>
      </c>
      <c r="BH228" s="38">
        <f>IF(UIoptions!$N$35=2,IF(AND(PCdb[[#This Row],[ROUND_D]]&gt;UIoptions!$S$15,PCdb[[#This Row],[ROUND_D]]&lt;UIoptions!$T$15),1,0),1)</f>
        <v>1</v>
      </c>
      <c r="BI228" s="38">
        <f>IF(UIoptions!$N$75&lt;&gt;1,1,IF(AND(PCdb[[#This Row],[FL]]&gt;UIoptions!$S$16,PCdb[[#This Row],[FL]]&lt;UIoptions!$T$16),1,0))</f>
        <v>0</v>
      </c>
      <c r="BJ228" s="38" t="e">
        <f>IF(OR(UIoptions!$Q$18=PCdb[[#This Row],[THRU_SCREW]],UIoptions!$Q$18="NA"),1,0)</f>
        <v>#N/A</v>
      </c>
      <c r="BK228" s="38">
        <f>IF(OR(UIoptions!$P$19=PCdb[[#This Row],[THREAD_SZ]],UIoptions!$P$19="NA"),1,0)</f>
        <v>1</v>
      </c>
      <c r="BL228" s="38">
        <f>IF(UIoptions!$N$75=1,1,IF(AND(PCdb[[#This Row],[THREAD_L]]&gt;UIoptions!$S$17,PCdb[[#This Row],[THREAD_L]]&lt;UIoptions!$T$17),1,0))</f>
        <v>1</v>
      </c>
      <c r="BM228" s="38" t="e">
        <f>IF(SUM(PCdb[[#This Row],[BDhit]:[THREAD_Lhit]])=11,1,0)</f>
        <v>#N/A</v>
      </c>
      <c r="BN22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66.738.146.352057NA7.6M5NANA4</v>
      </c>
      <c r="BO228" s="38" t="e">
        <f>SUM(PCdb[[#This Row],[BDhit]:[THREAD_Lhit]])</f>
        <v>#N/A</v>
      </c>
    </row>
    <row r="229" spans="1:67" x14ac:dyDescent="0.25">
      <c r="A229" s="7">
        <v>233</v>
      </c>
      <c r="B229" s="93">
        <v>100</v>
      </c>
      <c r="C229" s="93">
        <v>85</v>
      </c>
      <c r="D229" s="93">
        <v>4</v>
      </c>
      <c r="E229" s="93">
        <v>16</v>
      </c>
      <c r="F229" s="93">
        <v>34.5</v>
      </c>
      <c r="G229" s="93">
        <v>90</v>
      </c>
      <c r="H229" s="93" t="s">
        <v>87</v>
      </c>
      <c r="I229" s="93">
        <v>13</v>
      </c>
      <c r="J229" s="93" t="s">
        <v>49</v>
      </c>
      <c r="K229" s="93" t="s">
        <v>87</v>
      </c>
      <c r="L229" s="93" t="s">
        <v>87</v>
      </c>
      <c r="M229" s="93">
        <v>4</v>
      </c>
      <c r="N229" s="38" t="s">
        <v>49</v>
      </c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>
        <v>43.5</v>
      </c>
      <c r="AW229" s="38" t="s">
        <v>87</v>
      </c>
      <c r="AX229" s="38" t="s">
        <v>130</v>
      </c>
      <c r="AY229" s="38" t="s">
        <v>177</v>
      </c>
      <c r="AZ229" s="38">
        <v>45</v>
      </c>
      <c r="BA229" s="38">
        <v>90</v>
      </c>
      <c r="BB229" s="38">
        <f>IF(AND(PCdb[[#This Row],[BCD]]&gt;UIoptions!$S$10,PCdb[[#This Row],[BCD]]&lt;UIoptions!$T$10),1,0)</f>
        <v>0</v>
      </c>
      <c r="BC229" s="38">
        <f>IF(AND(PCdb[[#This Row],[PD]]&gt;UIoptions!$S$11,PCdb[[#This Row],[PD]]&lt;UIoptions!$T$11),1,0)</f>
        <v>0</v>
      </c>
      <c r="BD229" s="38">
        <f>IF(AND(UIoptions!$P$14&lt;=PCdb[[#This Row],[PL (MAX)]],UIoptions!$P$14&gt;UIoptions!$S$14),1,0)</f>
        <v>1</v>
      </c>
      <c r="BE229" s="38">
        <f>IF(AND(PCdb[[#This Row],[SD]]&gt;UIoptions!$S$12,PCdb[[#This Row],[SD]]&lt;UIoptions!$T$12),1,0)</f>
        <v>0</v>
      </c>
      <c r="BF229" s="38">
        <f>IF(AND(PCdb[[#This Row],[SL]]&gt;UIoptions!$S$13,PCdb[[#This Row],[SL]]&lt;UIoptions!$T$13),1,0)</f>
        <v>0</v>
      </c>
      <c r="BG229" s="38">
        <f>IF(UIoptions!$N$35=1,IF(AND(PCdb[[#This Row],[SQ_SZ]]&gt;UIoptions!$S$15,PCdb[[#This Row],[SQ_SZ]]&lt;UIoptions!$T$15),1,0),1)</f>
        <v>0</v>
      </c>
      <c r="BH229" s="38">
        <f>IF(UIoptions!$N$35=2,IF(AND(PCdb[[#This Row],[ROUND_D]]&gt;UIoptions!$S$15,PCdb[[#This Row],[ROUND_D]]&lt;UIoptions!$T$15),1,0),1)</f>
        <v>1</v>
      </c>
      <c r="BI229" s="38">
        <f>IF(UIoptions!$N$75&lt;&gt;1,1,IF(AND(PCdb[[#This Row],[FL]]&gt;UIoptions!$S$16,PCdb[[#This Row],[FL]]&lt;UIoptions!$T$16),1,0))</f>
        <v>0</v>
      </c>
      <c r="BJ229" s="38" t="e">
        <f>IF(OR(UIoptions!$Q$18=PCdb[[#This Row],[THRU_SCREW]],UIoptions!$Q$18="NA"),1,0)</f>
        <v>#N/A</v>
      </c>
      <c r="BK229" s="38">
        <f>IF(OR(UIoptions!$P$19=PCdb[[#This Row],[THREAD_SZ]],UIoptions!$P$19="NA"),1,0)</f>
        <v>1</v>
      </c>
      <c r="BL229" s="38">
        <f>IF(UIoptions!$N$75=1,1,IF(AND(PCdb[[#This Row],[THREAD_L]]&gt;UIoptions!$S$17,PCdb[[#This Row],[THREAD_L]]&lt;UIoptions!$T$17),1,0))</f>
        <v>1</v>
      </c>
      <c r="BM229" s="38" t="e">
        <f>IF(SUM(PCdb[[#This Row],[BDhit]:[THREAD_Lhit]])=11,1,0)</f>
        <v>#N/A</v>
      </c>
      <c r="BN22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1008541634.590NA13M6NANA4</v>
      </c>
      <c r="BO229" s="38" t="e">
        <f>SUM(PCdb[[#This Row],[BDhit]:[THREAD_Lhit]])</f>
        <v>#N/A</v>
      </c>
    </row>
    <row r="230" spans="1:67" x14ac:dyDescent="0.25">
      <c r="A230" s="7">
        <v>234</v>
      </c>
      <c r="B230" s="93">
        <v>70.5</v>
      </c>
      <c r="C230" s="93">
        <v>50</v>
      </c>
      <c r="D230" s="93">
        <v>4</v>
      </c>
      <c r="E230" s="93">
        <v>10</v>
      </c>
      <c r="F230" s="93">
        <v>31</v>
      </c>
      <c r="G230" s="93">
        <v>61</v>
      </c>
      <c r="H230" s="93" t="s">
        <v>87</v>
      </c>
      <c r="I230" s="93">
        <v>7</v>
      </c>
      <c r="J230" s="93" t="s">
        <v>45</v>
      </c>
      <c r="K230" s="93" t="s">
        <v>87</v>
      </c>
      <c r="L230" s="93" t="s">
        <v>87</v>
      </c>
      <c r="M230" s="93">
        <v>4</v>
      </c>
      <c r="N230" s="38" t="s">
        <v>45</v>
      </c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>
        <v>27</v>
      </c>
      <c r="AK230" s="38" t="s">
        <v>87</v>
      </c>
      <c r="AL230" s="38" t="s">
        <v>130</v>
      </c>
      <c r="AM230" s="38" t="s">
        <v>177</v>
      </c>
      <c r="AN230" s="38">
        <v>45</v>
      </c>
      <c r="AO230" s="38">
        <v>90</v>
      </c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>
        <f>IF(AND(PCdb[[#This Row],[BCD]]&gt;UIoptions!$S$10,PCdb[[#This Row],[BCD]]&lt;UIoptions!$T$10),1,0)</f>
        <v>0</v>
      </c>
      <c r="BC230" s="38">
        <f>IF(AND(PCdb[[#This Row],[PD]]&gt;UIoptions!$S$11,PCdb[[#This Row],[PD]]&lt;UIoptions!$T$11),1,0)</f>
        <v>0</v>
      </c>
      <c r="BD230" s="38">
        <f>IF(AND(UIoptions!$P$14&lt;=PCdb[[#This Row],[PL (MAX)]],UIoptions!$P$14&gt;UIoptions!$S$14),1,0)</f>
        <v>1</v>
      </c>
      <c r="BE230" s="38">
        <f>IF(AND(PCdb[[#This Row],[SD]]&gt;UIoptions!$S$12,PCdb[[#This Row],[SD]]&lt;UIoptions!$T$12),1,0)</f>
        <v>0</v>
      </c>
      <c r="BF230" s="38">
        <f>IF(AND(PCdb[[#This Row],[SL]]&gt;UIoptions!$S$13,PCdb[[#This Row],[SL]]&lt;UIoptions!$T$13),1,0)</f>
        <v>0</v>
      </c>
      <c r="BG230" s="38">
        <f>IF(UIoptions!$N$35=1,IF(AND(PCdb[[#This Row],[SQ_SZ]]&gt;UIoptions!$S$15,PCdb[[#This Row],[SQ_SZ]]&lt;UIoptions!$T$15),1,0),1)</f>
        <v>0</v>
      </c>
      <c r="BH230" s="38">
        <f>IF(UIoptions!$N$35=2,IF(AND(PCdb[[#This Row],[ROUND_D]]&gt;UIoptions!$S$15,PCdb[[#This Row],[ROUND_D]]&lt;UIoptions!$T$15),1,0),1)</f>
        <v>1</v>
      </c>
      <c r="BI230" s="38">
        <f>IF(UIoptions!$N$75&lt;&gt;1,1,IF(AND(PCdb[[#This Row],[FL]]&gt;UIoptions!$S$16,PCdb[[#This Row],[FL]]&lt;UIoptions!$T$16),1,0))</f>
        <v>0</v>
      </c>
      <c r="BJ230" s="38" t="e">
        <f>IF(OR(UIoptions!$Q$18=PCdb[[#This Row],[THRU_SCREW]],UIoptions!$Q$18="NA"),1,0)</f>
        <v>#N/A</v>
      </c>
      <c r="BK230" s="38">
        <f>IF(OR(UIoptions!$P$19=PCdb[[#This Row],[THREAD_SZ]],UIoptions!$P$19="NA"),1,0)</f>
        <v>1</v>
      </c>
      <c r="BL230" s="38">
        <f>IF(UIoptions!$N$75=1,1,IF(AND(PCdb[[#This Row],[THREAD_L]]&gt;UIoptions!$S$17,PCdb[[#This Row],[THREAD_L]]&lt;UIoptions!$T$17),1,0))</f>
        <v>1</v>
      </c>
      <c r="BM230" s="38" t="e">
        <f>IF(SUM(PCdb[[#This Row],[BDhit]:[THREAD_Lhit]])=11,1,0)</f>
        <v>#N/A</v>
      </c>
      <c r="BN23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70.5504103161NA7M5NANA4</v>
      </c>
      <c r="BO230" s="38" t="e">
        <f>SUM(PCdb[[#This Row],[BDhit]:[THREAD_Lhit]])</f>
        <v>#N/A</v>
      </c>
    </row>
    <row r="231" spans="1:67" x14ac:dyDescent="0.25">
      <c r="A231" s="7">
        <v>235</v>
      </c>
      <c r="B231" s="93">
        <v>75</v>
      </c>
      <c r="C231" s="93">
        <v>60</v>
      </c>
      <c r="D231" s="93">
        <v>4</v>
      </c>
      <c r="E231" s="93">
        <v>11</v>
      </c>
      <c r="F231" s="93">
        <v>23</v>
      </c>
      <c r="G231" s="93">
        <v>68</v>
      </c>
      <c r="H231" s="93" t="s">
        <v>87</v>
      </c>
      <c r="I231" s="93">
        <v>8.5</v>
      </c>
      <c r="J231" s="93" t="s">
        <v>45</v>
      </c>
      <c r="K231" s="93" t="s">
        <v>87</v>
      </c>
      <c r="L231" s="93" t="s">
        <v>87</v>
      </c>
      <c r="M231" s="93">
        <v>4</v>
      </c>
      <c r="N231" s="38" t="s">
        <v>45</v>
      </c>
      <c r="O231" s="38"/>
      <c r="P231" s="38"/>
      <c r="Q231" s="38"/>
      <c r="R231" s="38"/>
      <c r="S231" s="38"/>
      <c r="T231" s="38"/>
      <c r="U231" s="38"/>
      <c r="V231" s="25">
        <v>45.2</v>
      </c>
      <c r="W231" s="38">
        <v>32</v>
      </c>
      <c r="X231" s="38" t="s">
        <v>87</v>
      </c>
      <c r="Y231" s="38" t="s">
        <v>130</v>
      </c>
      <c r="Z231" s="38" t="s">
        <v>172</v>
      </c>
      <c r="AA231" s="38">
        <v>45</v>
      </c>
      <c r="AB231" s="38">
        <v>90</v>
      </c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>
        <v>32</v>
      </c>
      <c r="AQ231" s="38" t="s">
        <v>87</v>
      </c>
      <c r="AR231" s="38" t="s">
        <v>130</v>
      </c>
      <c r="AS231" s="38" t="s">
        <v>177</v>
      </c>
      <c r="AT231" s="38">
        <v>45</v>
      </c>
      <c r="AU231" s="38">
        <v>90</v>
      </c>
      <c r="AV231" s="38"/>
      <c r="AW231" s="38"/>
      <c r="AX231" s="38"/>
      <c r="AY231" s="38"/>
      <c r="AZ231" s="38"/>
      <c r="BA231" s="38"/>
      <c r="BB231" s="38">
        <f>IF(AND(PCdb[[#This Row],[BCD]]&gt;UIoptions!$S$10,PCdb[[#This Row],[BCD]]&lt;UIoptions!$T$10),1,0)</f>
        <v>1</v>
      </c>
      <c r="BC231" s="38">
        <f>IF(AND(PCdb[[#This Row],[PD]]&gt;UIoptions!$S$11,PCdb[[#This Row],[PD]]&lt;UIoptions!$T$11),1,0)</f>
        <v>1</v>
      </c>
      <c r="BD231" s="38">
        <f>IF(AND(UIoptions!$P$14&lt;=PCdb[[#This Row],[PL (MAX)]],UIoptions!$P$14&gt;UIoptions!$S$14),1,0)</f>
        <v>1</v>
      </c>
      <c r="BE231" s="38">
        <f>IF(AND(PCdb[[#This Row],[SD]]&gt;UIoptions!$S$12,PCdb[[#This Row],[SD]]&lt;UIoptions!$T$12),1,0)</f>
        <v>1</v>
      </c>
      <c r="BF231" s="38">
        <f>IF(AND(PCdb[[#This Row],[SL]]&gt;UIoptions!$S$13,PCdb[[#This Row],[SL]]&lt;UIoptions!$T$13),1,0)</f>
        <v>1</v>
      </c>
      <c r="BG231" s="38">
        <f>IF(UIoptions!$N$35=1,IF(AND(PCdb[[#This Row],[SQ_SZ]]&gt;UIoptions!$S$15,PCdb[[#This Row],[SQ_SZ]]&lt;UIoptions!$T$15),1,0),1)</f>
        <v>0</v>
      </c>
      <c r="BH231" s="38">
        <f>IF(UIoptions!$N$35=2,IF(AND(PCdb[[#This Row],[ROUND_D]]&gt;UIoptions!$S$15,PCdb[[#This Row],[ROUND_D]]&lt;UIoptions!$T$15),1,0),1)</f>
        <v>1</v>
      </c>
      <c r="BI231" s="38">
        <f>IF(UIoptions!$N$75&lt;&gt;1,1,IF(AND(PCdb[[#This Row],[FL]]&gt;UIoptions!$S$16,PCdb[[#This Row],[FL]]&lt;UIoptions!$T$16),1,0))</f>
        <v>0</v>
      </c>
      <c r="BJ231" s="38" t="e">
        <f>IF(OR(UIoptions!$Q$18=PCdb[[#This Row],[THRU_SCREW]],UIoptions!$Q$18="NA"),1,0)</f>
        <v>#N/A</v>
      </c>
      <c r="BK231" s="38">
        <f>IF(OR(UIoptions!$P$19=PCdb[[#This Row],[THREAD_SZ]],UIoptions!$P$19="NA"),1,0)</f>
        <v>1</v>
      </c>
      <c r="BL231" s="38">
        <f>IF(UIoptions!$N$75=1,1,IF(AND(PCdb[[#This Row],[THREAD_L]]&gt;UIoptions!$S$17,PCdb[[#This Row],[THREAD_L]]&lt;UIoptions!$T$17),1,0))</f>
        <v>1</v>
      </c>
      <c r="BM231" s="38" t="e">
        <f>IF(SUM(PCdb[[#This Row],[BDhit]:[THREAD_Lhit]])=11,1,0)</f>
        <v>#N/A</v>
      </c>
      <c r="BN23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75604112368NA8.5M5NANA4</v>
      </c>
      <c r="BO231" s="38" t="e">
        <f>SUM(PCdb[[#This Row],[BDhit]:[THREAD_Lhit]])</f>
        <v>#N/A</v>
      </c>
    </row>
    <row r="232" spans="1:67" x14ac:dyDescent="0.25">
      <c r="A232" s="7">
        <v>236</v>
      </c>
      <c r="B232" s="93">
        <v>75</v>
      </c>
      <c r="C232" s="93">
        <v>60</v>
      </c>
      <c r="D232" s="93">
        <v>4</v>
      </c>
      <c r="E232" s="93">
        <v>14</v>
      </c>
      <c r="F232" s="93">
        <v>30</v>
      </c>
      <c r="G232" s="93">
        <v>67</v>
      </c>
      <c r="H232" s="93" t="s">
        <v>87</v>
      </c>
      <c r="I232" s="93">
        <v>7.5</v>
      </c>
      <c r="J232" s="93" t="s">
        <v>45</v>
      </c>
      <c r="K232" s="93" t="s">
        <v>87</v>
      </c>
      <c r="L232" s="93" t="s">
        <v>87</v>
      </c>
      <c r="M232" s="93">
        <v>4</v>
      </c>
      <c r="N232" s="38" t="s">
        <v>45</v>
      </c>
      <c r="O232" s="38"/>
      <c r="P232" s="38"/>
      <c r="Q232" s="38"/>
      <c r="R232" s="38"/>
      <c r="S232" s="38"/>
      <c r="T232" s="38"/>
      <c r="U232" s="38"/>
      <c r="V232" s="25">
        <v>45.2</v>
      </c>
      <c r="W232" s="38">
        <v>31</v>
      </c>
      <c r="X232" s="38" t="s">
        <v>87</v>
      </c>
      <c r="Y232" s="38" t="s">
        <v>130</v>
      </c>
      <c r="Z232" s="38" t="s">
        <v>172</v>
      </c>
      <c r="AA232" s="38">
        <v>45</v>
      </c>
      <c r="AB232" s="38">
        <v>90</v>
      </c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>
        <f>IF(AND(PCdb[[#This Row],[BCD]]&gt;UIoptions!$S$10,PCdb[[#This Row],[BCD]]&lt;UIoptions!$T$10),1,0)</f>
        <v>1</v>
      </c>
      <c r="BC232" s="38">
        <f>IF(AND(PCdb[[#This Row],[PD]]&gt;UIoptions!$S$11,PCdb[[#This Row],[PD]]&lt;UIoptions!$T$11),1,0)</f>
        <v>1</v>
      </c>
      <c r="BD232" s="38">
        <f>IF(AND(UIoptions!$P$14&lt;=PCdb[[#This Row],[PL (MAX)]],UIoptions!$P$14&gt;UIoptions!$S$14),1,0)</f>
        <v>1</v>
      </c>
      <c r="BE232" s="38">
        <f>IF(AND(PCdb[[#This Row],[SD]]&gt;UIoptions!$S$12,PCdb[[#This Row],[SD]]&lt;UIoptions!$T$12),1,0)</f>
        <v>0</v>
      </c>
      <c r="BF232" s="38">
        <f>IF(AND(PCdb[[#This Row],[SL]]&gt;UIoptions!$S$13,PCdb[[#This Row],[SL]]&lt;UIoptions!$T$13),1,0)</f>
        <v>0</v>
      </c>
      <c r="BG232" s="38">
        <f>IF(UIoptions!$N$35=1,IF(AND(PCdb[[#This Row],[SQ_SZ]]&gt;UIoptions!$S$15,PCdb[[#This Row],[SQ_SZ]]&lt;UIoptions!$T$15),1,0),1)</f>
        <v>0</v>
      </c>
      <c r="BH232" s="38">
        <f>IF(UIoptions!$N$35=2,IF(AND(PCdb[[#This Row],[ROUND_D]]&gt;UIoptions!$S$15,PCdb[[#This Row],[ROUND_D]]&lt;UIoptions!$T$15),1,0),1)</f>
        <v>1</v>
      </c>
      <c r="BI232" s="38">
        <f>IF(UIoptions!$N$75&lt;&gt;1,1,IF(AND(PCdb[[#This Row],[FL]]&gt;UIoptions!$S$16,PCdb[[#This Row],[FL]]&lt;UIoptions!$T$16),1,0))</f>
        <v>0</v>
      </c>
      <c r="BJ232" s="38" t="e">
        <f>IF(OR(UIoptions!$Q$18=PCdb[[#This Row],[THRU_SCREW]],UIoptions!$Q$18="NA"),1,0)</f>
        <v>#N/A</v>
      </c>
      <c r="BK232" s="38">
        <f>IF(OR(UIoptions!$P$19=PCdb[[#This Row],[THREAD_SZ]],UIoptions!$P$19="NA"),1,0)</f>
        <v>1</v>
      </c>
      <c r="BL232" s="38">
        <f>IF(UIoptions!$N$75=1,1,IF(AND(PCdb[[#This Row],[THREAD_L]]&gt;UIoptions!$S$17,PCdb[[#This Row],[THREAD_L]]&lt;UIoptions!$T$17),1,0))</f>
        <v>1</v>
      </c>
      <c r="BM232" s="38" t="e">
        <f>IF(SUM(PCdb[[#This Row],[BDhit]:[THREAD_Lhit]])=11,1,0)</f>
        <v>#N/A</v>
      </c>
      <c r="BN23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75604143067NA7.5M5NANA4</v>
      </c>
      <c r="BO232" s="38" t="e">
        <f>SUM(PCdb[[#This Row],[BDhit]:[THREAD_Lhit]])</f>
        <v>#N/A</v>
      </c>
    </row>
    <row r="233" spans="1:67" x14ac:dyDescent="0.25">
      <c r="A233" s="7">
        <v>237</v>
      </c>
      <c r="B233" s="93">
        <v>70</v>
      </c>
      <c r="C233" s="93">
        <v>50</v>
      </c>
      <c r="D233" s="93">
        <v>4</v>
      </c>
      <c r="E233" s="93">
        <v>14</v>
      </c>
      <c r="F233" s="93">
        <v>29</v>
      </c>
      <c r="G233" s="93">
        <v>60</v>
      </c>
      <c r="H233" s="93" t="s">
        <v>87</v>
      </c>
      <c r="I233" s="93">
        <v>6</v>
      </c>
      <c r="J233" s="93" t="s">
        <v>45</v>
      </c>
      <c r="K233" s="93" t="s">
        <v>87</v>
      </c>
      <c r="L233" s="93" t="s">
        <v>87</v>
      </c>
      <c r="M233" s="93">
        <v>4</v>
      </c>
      <c r="N233" s="38" t="s">
        <v>45</v>
      </c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>
        <v>28</v>
      </c>
      <c r="AW233" s="38" t="s">
        <v>87</v>
      </c>
      <c r="AX233" s="38" t="s">
        <v>130</v>
      </c>
      <c r="AY233" s="38" t="s">
        <v>176</v>
      </c>
      <c r="AZ233" s="38">
        <v>45</v>
      </c>
      <c r="BA233" s="38">
        <v>90</v>
      </c>
      <c r="BB233" s="38">
        <f>IF(AND(PCdb[[#This Row],[BCD]]&gt;UIoptions!$S$10,PCdb[[#This Row],[BCD]]&lt;UIoptions!$T$10),1,0)</f>
        <v>0</v>
      </c>
      <c r="BC233" s="38">
        <f>IF(AND(PCdb[[#This Row],[PD]]&gt;UIoptions!$S$11,PCdb[[#This Row],[PD]]&lt;UIoptions!$T$11),1,0)</f>
        <v>0</v>
      </c>
      <c r="BD233" s="38">
        <f>IF(AND(UIoptions!$P$14&lt;=PCdb[[#This Row],[PL (MAX)]],UIoptions!$P$14&gt;UIoptions!$S$14),1,0)</f>
        <v>1</v>
      </c>
      <c r="BE233" s="38">
        <f>IF(AND(PCdb[[#This Row],[SD]]&gt;UIoptions!$S$12,PCdb[[#This Row],[SD]]&lt;UIoptions!$T$12),1,0)</f>
        <v>0</v>
      </c>
      <c r="BF233" s="38">
        <f>IF(AND(PCdb[[#This Row],[SL]]&gt;UIoptions!$S$13,PCdb[[#This Row],[SL]]&lt;UIoptions!$T$13),1,0)</f>
        <v>0</v>
      </c>
      <c r="BG233" s="38">
        <f>IF(UIoptions!$N$35=1,IF(AND(PCdb[[#This Row],[SQ_SZ]]&gt;UIoptions!$S$15,PCdb[[#This Row],[SQ_SZ]]&lt;UIoptions!$T$15),1,0),1)</f>
        <v>0</v>
      </c>
      <c r="BH233" s="38">
        <f>IF(UIoptions!$N$35=2,IF(AND(PCdb[[#This Row],[ROUND_D]]&gt;UIoptions!$S$15,PCdb[[#This Row],[ROUND_D]]&lt;UIoptions!$T$15),1,0),1)</f>
        <v>1</v>
      </c>
      <c r="BI233" s="38">
        <f>IF(UIoptions!$N$75&lt;&gt;1,1,IF(AND(PCdb[[#This Row],[FL]]&gt;UIoptions!$S$16,PCdb[[#This Row],[FL]]&lt;UIoptions!$T$16),1,0))</f>
        <v>0</v>
      </c>
      <c r="BJ233" s="38" t="e">
        <f>IF(OR(UIoptions!$Q$18=PCdb[[#This Row],[THRU_SCREW]],UIoptions!$Q$18="NA"),1,0)</f>
        <v>#N/A</v>
      </c>
      <c r="BK233" s="38">
        <f>IF(OR(UIoptions!$P$19=PCdb[[#This Row],[THREAD_SZ]],UIoptions!$P$19="NA"),1,0)</f>
        <v>1</v>
      </c>
      <c r="BL233" s="38">
        <f>IF(UIoptions!$N$75=1,1,IF(AND(PCdb[[#This Row],[THREAD_L]]&gt;UIoptions!$S$17,PCdb[[#This Row],[THREAD_L]]&lt;UIoptions!$T$17),1,0))</f>
        <v>1</v>
      </c>
      <c r="BM233" s="38" t="e">
        <f>IF(SUM(PCdb[[#This Row],[BDhit]:[THREAD_Lhit]])=11,1,0)</f>
        <v>#N/A</v>
      </c>
      <c r="BN23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70504142960NA6M5NANA4</v>
      </c>
      <c r="BO233" s="38" t="e">
        <f>SUM(PCdb[[#This Row],[BDhit]:[THREAD_Lhit]])</f>
        <v>#N/A</v>
      </c>
    </row>
    <row r="234" spans="1:67" x14ac:dyDescent="0.25">
      <c r="A234" s="7">
        <v>238</v>
      </c>
      <c r="B234" s="93">
        <v>28</v>
      </c>
      <c r="C234" s="93">
        <v>22</v>
      </c>
      <c r="D234" s="93">
        <v>4</v>
      </c>
      <c r="E234" s="93">
        <v>8</v>
      </c>
      <c r="F234" s="93">
        <v>20</v>
      </c>
      <c r="G234" s="93" t="s">
        <v>87</v>
      </c>
      <c r="H234" s="93">
        <v>40</v>
      </c>
      <c r="I234" s="93" t="s">
        <v>87</v>
      </c>
      <c r="J234" s="93" t="s">
        <v>87</v>
      </c>
      <c r="K234" s="93" t="s">
        <v>105</v>
      </c>
      <c r="L234" s="93">
        <v>5</v>
      </c>
      <c r="M234" s="93">
        <v>4</v>
      </c>
      <c r="N234" s="38">
        <v>4</v>
      </c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 t="s">
        <v>87</v>
      </c>
      <c r="AK234" s="38" t="s">
        <v>87</v>
      </c>
      <c r="AL234" s="38" t="s">
        <v>130</v>
      </c>
      <c r="AM234" s="38" t="s">
        <v>280</v>
      </c>
      <c r="AN234" s="38">
        <v>45</v>
      </c>
      <c r="AO234" s="38">
        <v>90</v>
      </c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>
        <f>IF(AND(PCdb[[#This Row],[BCD]]&gt;UIoptions!$S$10,PCdb[[#This Row],[BCD]]&lt;UIoptions!$T$10),1,0)</f>
        <v>0</v>
      </c>
      <c r="BC234" s="38">
        <f>IF(AND(PCdb[[#This Row],[PD]]&gt;UIoptions!$S$11,PCdb[[#This Row],[PD]]&lt;UIoptions!$T$11),1,0)</f>
        <v>0</v>
      </c>
      <c r="BD234" s="38">
        <f>IF(AND(UIoptions!$P$14&lt;=PCdb[[#This Row],[PL (MAX)]],UIoptions!$P$14&gt;UIoptions!$S$14),1,0)</f>
        <v>1</v>
      </c>
      <c r="BE234" s="38">
        <f>IF(AND(PCdb[[#This Row],[SD]]&gt;UIoptions!$S$12,PCdb[[#This Row],[SD]]&lt;UIoptions!$T$12),1,0)</f>
        <v>0</v>
      </c>
      <c r="BF234" s="38">
        <f>IF(AND(PCdb[[#This Row],[SL]]&gt;UIoptions!$S$13,PCdb[[#This Row],[SL]]&lt;UIoptions!$T$13),1,0)</f>
        <v>0</v>
      </c>
      <c r="BG234" s="38">
        <f>IF(UIoptions!$N$35=1,IF(AND(PCdb[[#This Row],[SQ_SZ]]&gt;UIoptions!$S$15,PCdb[[#This Row],[SQ_SZ]]&lt;UIoptions!$T$15),1,0),1)</f>
        <v>0</v>
      </c>
      <c r="BH234" s="38">
        <f>IF(UIoptions!$N$35=2,IF(AND(PCdb[[#This Row],[ROUND_D]]&gt;UIoptions!$S$15,PCdb[[#This Row],[ROUND_D]]&lt;UIoptions!$T$15),1,0),1)</f>
        <v>1</v>
      </c>
      <c r="BI234" s="38">
        <f>IF(UIoptions!$N$75&lt;&gt;1,1,IF(AND(PCdb[[#This Row],[FL]]&gt;UIoptions!$S$16,PCdb[[#This Row],[FL]]&lt;UIoptions!$T$16),1,0))</f>
        <v>0</v>
      </c>
      <c r="BJ234" s="38" t="e">
        <f>IF(OR(UIoptions!$Q$18=PCdb[[#This Row],[THRU_SCREW]],UIoptions!$Q$18="NA"),1,0)</f>
        <v>#N/A</v>
      </c>
      <c r="BK234" s="38">
        <f>IF(OR(UIoptions!$P$19=PCdb[[#This Row],[THREAD_SZ]],UIoptions!$P$19="NA"),1,0)</f>
        <v>1</v>
      </c>
      <c r="BL234" s="38">
        <f>IF(UIoptions!$N$75=1,1,IF(AND(PCdb[[#This Row],[THREAD_L]]&gt;UIoptions!$S$17,PCdb[[#This Row],[THREAD_L]]&lt;UIoptions!$T$17),1,0))</f>
        <v>1</v>
      </c>
      <c r="BM234" s="38" t="e">
        <f>IF(SUM(PCdb[[#This Row],[BDhit]:[THREAD_Lhit]])=11,1,0)</f>
        <v>#N/A</v>
      </c>
      <c r="BN23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28224820NA40NANAM354</v>
      </c>
      <c r="BO234" s="38" t="e">
        <f>SUM(PCdb[[#This Row],[BDhit]:[THREAD_Lhit]])</f>
        <v>#N/A</v>
      </c>
    </row>
    <row r="235" spans="1:67" x14ac:dyDescent="0.25">
      <c r="A235" s="7">
        <v>239</v>
      </c>
      <c r="B235" s="93">
        <v>75</v>
      </c>
      <c r="C235" s="93">
        <v>60</v>
      </c>
      <c r="D235" s="93">
        <v>4</v>
      </c>
      <c r="E235" s="93">
        <v>14</v>
      </c>
      <c r="F235" s="93">
        <v>30</v>
      </c>
      <c r="G235" s="93">
        <v>70</v>
      </c>
      <c r="H235" s="93" t="s">
        <v>87</v>
      </c>
      <c r="I235" s="93">
        <v>9</v>
      </c>
      <c r="J235" s="93" t="s">
        <v>45</v>
      </c>
      <c r="K235" s="93" t="s">
        <v>87</v>
      </c>
      <c r="L235" s="93" t="s">
        <v>87</v>
      </c>
      <c r="M235" s="93">
        <v>4</v>
      </c>
      <c r="N235" s="38" t="s">
        <v>45</v>
      </c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>
        <v>32</v>
      </c>
      <c r="AQ235" s="38" t="s">
        <v>87</v>
      </c>
      <c r="AR235" s="38" t="s">
        <v>130</v>
      </c>
      <c r="AS235" s="38" t="s">
        <v>177</v>
      </c>
      <c r="AT235" s="38">
        <v>45</v>
      </c>
      <c r="AU235" s="38">
        <v>90</v>
      </c>
      <c r="AV235" s="38">
        <v>32</v>
      </c>
      <c r="AW235" s="38" t="s">
        <v>87</v>
      </c>
      <c r="AX235" s="38" t="s">
        <v>130</v>
      </c>
      <c r="AY235" s="38" t="s">
        <v>176</v>
      </c>
      <c r="AZ235" s="38">
        <v>45</v>
      </c>
      <c r="BA235" s="38">
        <v>90</v>
      </c>
      <c r="BB235" s="38">
        <f>IF(AND(PCdb[[#This Row],[BCD]]&gt;UIoptions!$S$10,PCdb[[#This Row],[BCD]]&lt;UIoptions!$T$10),1,0)</f>
        <v>1</v>
      </c>
      <c r="BC235" s="38">
        <f>IF(AND(PCdb[[#This Row],[PD]]&gt;UIoptions!$S$11,PCdb[[#This Row],[PD]]&lt;UIoptions!$T$11),1,0)</f>
        <v>1</v>
      </c>
      <c r="BD235" s="38">
        <f>IF(AND(UIoptions!$P$14&lt;=PCdb[[#This Row],[PL (MAX)]],UIoptions!$P$14&gt;UIoptions!$S$14),1,0)</f>
        <v>1</v>
      </c>
      <c r="BE235" s="38">
        <f>IF(AND(PCdb[[#This Row],[SD]]&gt;UIoptions!$S$12,PCdb[[#This Row],[SD]]&lt;UIoptions!$T$12),1,0)</f>
        <v>0</v>
      </c>
      <c r="BF235" s="38">
        <f>IF(AND(PCdb[[#This Row],[SL]]&gt;UIoptions!$S$13,PCdb[[#This Row],[SL]]&lt;UIoptions!$T$13),1,0)</f>
        <v>0</v>
      </c>
      <c r="BG235" s="38">
        <f>IF(UIoptions!$N$35=1,IF(AND(PCdb[[#This Row],[SQ_SZ]]&gt;UIoptions!$S$15,PCdb[[#This Row],[SQ_SZ]]&lt;UIoptions!$T$15),1,0),1)</f>
        <v>1</v>
      </c>
      <c r="BH235" s="38">
        <f>IF(UIoptions!$N$35=2,IF(AND(PCdb[[#This Row],[ROUND_D]]&gt;UIoptions!$S$15,PCdb[[#This Row],[ROUND_D]]&lt;UIoptions!$T$15),1,0),1)</f>
        <v>1</v>
      </c>
      <c r="BI235" s="38">
        <f>IF(UIoptions!$N$75&lt;&gt;1,1,IF(AND(PCdb[[#This Row],[FL]]&gt;UIoptions!$S$16,PCdb[[#This Row],[FL]]&lt;UIoptions!$T$16),1,0))</f>
        <v>0</v>
      </c>
      <c r="BJ235" s="38" t="e">
        <f>IF(OR(UIoptions!$Q$18=PCdb[[#This Row],[THRU_SCREW]],UIoptions!$Q$18="NA"),1,0)</f>
        <v>#N/A</v>
      </c>
      <c r="BK235" s="38">
        <f>IF(OR(UIoptions!$P$19=PCdb[[#This Row],[THREAD_SZ]],UIoptions!$P$19="NA"),1,0)</f>
        <v>1</v>
      </c>
      <c r="BL235" s="38">
        <f>IF(UIoptions!$N$75=1,1,IF(AND(PCdb[[#This Row],[THREAD_L]]&gt;UIoptions!$S$17,PCdb[[#This Row],[THREAD_L]]&lt;UIoptions!$T$17),1,0))</f>
        <v>1</v>
      </c>
      <c r="BM235" s="38" t="e">
        <f>IF(SUM(PCdb[[#This Row],[BDhit]:[THREAD_Lhit]])=11,1,0)</f>
        <v>#N/A</v>
      </c>
      <c r="BN23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75604143070NA9M5NANA4</v>
      </c>
      <c r="BO235" s="38" t="e">
        <f>SUM(PCdb[[#This Row],[BDhit]:[THREAD_Lhit]])</f>
        <v>#N/A</v>
      </c>
    </row>
    <row r="236" spans="1:67" x14ac:dyDescent="0.25">
      <c r="A236" s="7">
        <v>240</v>
      </c>
      <c r="B236" s="93">
        <v>34</v>
      </c>
      <c r="C236" s="93">
        <v>26</v>
      </c>
      <c r="D236" s="93">
        <v>4</v>
      </c>
      <c r="E236" s="93">
        <v>10</v>
      </c>
      <c r="F236" s="93">
        <v>26</v>
      </c>
      <c r="G236" s="93">
        <v>42</v>
      </c>
      <c r="H236" s="93" t="s">
        <v>87</v>
      </c>
      <c r="I236" s="93" t="s">
        <v>87</v>
      </c>
      <c r="J236" s="93" t="s">
        <v>87</v>
      </c>
      <c r="K236" s="93" t="s">
        <v>7</v>
      </c>
      <c r="L236" s="93">
        <v>6</v>
      </c>
      <c r="M236" s="93">
        <v>4</v>
      </c>
      <c r="N236" s="38">
        <v>5</v>
      </c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 t="s">
        <v>87</v>
      </c>
      <c r="AQ236" s="38" t="s">
        <v>87</v>
      </c>
      <c r="AR236" s="38" t="s">
        <v>130</v>
      </c>
      <c r="AS236" s="38" t="s">
        <v>280</v>
      </c>
      <c r="AT236" s="38">
        <v>45</v>
      </c>
      <c r="AU236" s="38">
        <v>90</v>
      </c>
      <c r="AV236" s="38"/>
      <c r="AW236" s="38"/>
      <c r="AX236" s="38"/>
      <c r="AY236" s="38"/>
      <c r="AZ236" s="38"/>
      <c r="BA236" s="38"/>
      <c r="BB236" s="38">
        <f>IF(AND(PCdb[[#This Row],[BCD]]&gt;UIoptions!$S$10,PCdb[[#This Row],[BCD]]&lt;UIoptions!$T$10),1,0)</f>
        <v>0</v>
      </c>
      <c r="BC236" s="38">
        <f>IF(AND(PCdb[[#This Row],[PD]]&gt;UIoptions!$S$11,PCdb[[#This Row],[PD]]&lt;UIoptions!$T$11),1,0)</f>
        <v>0</v>
      </c>
      <c r="BD236" s="38">
        <f>IF(AND(UIoptions!$P$14&lt;=PCdb[[#This Row],[PL (MAX)]],UIoptions!$P$14&gt;UIoptions!$S$14),1,0)</f>
        <v>1</v>
      </c>
      <c r="BE236" s="38">
        <f>IF(AND(PCdb[[#This Row],[SD]]&gt;UIoptions!$S$12,PCdb[[#This Row],[SD]]&lt;UIoptions!$T$12),1,0)</f>
        <v>0</v>
      </c>
      <c r="BF236" s="38">
        <f>IF(AND(PCdb[[#This Row],[SL]]&gt;UIoptions!$S$13,PCdb[[#This Row],[SL]]&lt;UIoptions!$T$13),1,0)</f>
        <v>0</v>
      </c>
      <c r="BG236" s="38">
        <f>IF(UIoptions!$N$35=1,IF(AND(PCdb[[#This Row],[SQ_SZ]]&gt;UIoptions!$S$15,PCdb[[#This Row],[SQ_SZ]]&lt;UIoptions!$T$15),1,0),1)</f>
        <v>0</v>
      </c>
      <c r="BH236" s="38">
        <f>IF(UIoptions!$N$35=2,IF(AND(PCdb[[#This Row],[ROUND_D]]&gt;UIoptions!$S$15,PCdb[[#This Row],[ROUND_D]]&lt;UIoptions!$T$15),1,0),1)</f>
        <v>1</v>
      </c>
      <c r="BI236" s="38">
        <f>IF(UIoptions!$N$75&lt;&gt;1,1,IF(AND(PCdb[[#This Row],[FL]]&gt;UIoptions!$S$16,PCdb[[#This Row],[FL]]&lt;UIoptions!$T$16),1,0))</f>
        <v>0</v>
      </c>
      <c r="BJ236" s="38" t="e">
        <f>IF(OR(UIoptions!$Q$18=PCdb[[#This Row],[THRU_SCREW]],UIoptions!$Q$18="NA"),1,0)</f>
        <v>#N/A</v>
      </c>
      <c r="BK236" s="38">
        <f>IF(OR(UIoptions!$P$19=PCdb[[#This Row],[THREAD_SZ]],UIoptions!$P$19="NA"),1,0)</f>
        <v>1</v>
      </c>
      <c r="BL236" s="38">
        <f>IF(UIoptions!$N$75=1,1,IF(AND(PCdb[[#This Row],[THREAD_L]]&gt;UIoptions!$S$17,PCdb[[#This Row],[THREAD_L]]&lt;UIoptions!$T$17),1,0))</f>
        <v>1</v>
      </c>
      <c r="BM236" s="38" t="e">
        <f>IF(SUM(PCdb[[#This Row],[BDhit]:[THREAD_Lhit]])=11,1,0)</f>
        <v>#N/A</v>
      </c>
      <c r="BN23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34264102642NANANAM464</v>
      </c>
      <c r="BO236" s="38" t="e">
        <f>SUM(PCdb[[#This Row],[BDhit]:[THREAD_Lhit]])</f>
        <v>#N/A</v>
      </c>
    </row>
    <row r="237" spans="1:67" x14ac:dyDescent="0.25">
      <c r="A237" s="7">
        <v>241</v>
      </c>
      <c r="B237" s="93">
        <v>70</v>
      </c>
      <c r="C237" s="93">
        <v>50</v>
      </c>
      <c r="D237" s="93">
        <v>4</v>
      </c>
      <c r="E237" s="93">
        <v>14</v>
      </c>
      <c r="F237" s="93">
        <v>30</v>
      </c>
      <c r="G237" s="93">
        <v>60</v>
      </c>
      <c r="H237" s="93" t="s">
        <v>87</v>
      </c>
      <c r="I237" s="93">
        <v>6</v>
      </c>
      <c r="J237" s="93" t="s">
        <v>7</v>
      </c>
      <c r="K237" s="93" t="s">
        <v>87</v>
      </c>
      <c r="L237" s="93" t="s">
        <v>87</v>
      </c>
      <c r="M237" s="93">
        <v>4</v>
      </c>
      <c r="N237" s="38" t="s">
        <v>7</v>
      </c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>
        <v>27</v>
      </c>
      <c r="AQ237" s="38" t="s">
        <v>87</v>
      </c>
      <c r="AR237" s="38" t="s">
        <v>130</v>
      </c>
      <c r="AS237" s="38" t="s">
        <v>176</v>
      </c>
      <c r="AT237" s="38">
        <v>45</v>
      </c>
      <c r="AU237" s="38">
        <v>90</v>
      </c>
      <c r="AV237" s="38"/>
      <c r="AW237" s="38"/>
      <c r="AX237" s="38"/>
      <c r="AY237" s="38"/>
      <c r="AZ237" s="38"/>
      <c r="BA237" s="38"/>
      <c r="BB237" s="38">
        <f>IF(AND(PCdb[[#This Row],[BCD]]&gt;UIoptions!$S$10,PCdb[[#This Row],[BCD]]&lt;UIoptions!$T$10),1,0)</f>
        <v>0</v>
      </c>
      <c r="BC237" s="38">
        <f>IF(AND(PCdb[[#This Row],[PD]]&gt;UIoptions!$S$11,PCdb[[#This Row],[PD]]&lt;UIoptions!$T$11),1,0)</f>
        <v>0</v>
      </c>
      <c r="BD237" s="38">
        <f>IF(AND(UIoptions!$P$14&lt;=PCdb[[#This Row],[PL (MAX)]],UIoptions!$P$14&gt;UIoptions!$S$14),1,0)</f>
        <v>1</v>
      </c>
      <c r="BE237" s="38">
        <f>IF(AND(PCdb[[#This Row],[SD]]&gt;UIoptions!$S$12,PCdb[[#This Row],[SD]]&lt;UIoptions!$T$12),1,0)</f>
        <v>0</v>
      </c>
      <c r="BF237" s="38">
        <f>IF(AND(PCdb[[#This Row],[SL]]&gt;UIoptions!$S$13,PCdb[[#This Row],[SL]]&lt;UIoptions!$T$13),1,0)</f>
        <v>0</v>
      </c>
      <c r="BG237" s="38">
        <f>IF(UIoptions!$N$35=1,IF(AND(PCdb[[#This Row],[SQ_SZ]]&gt;UIoptions!$S$15,PCdb[[#This Row],[SQ_SZ]]&lt;UIoptions!$T$15),1,0),1)</f>
        <v>0</v>
      </c>
      <c r="BH237" s="38">
        <f>IF(UIoptions!$N$35=2,IF(AND(PCdb[[#This Row],[ROUND_D]]&gt;UIoptions!$S$15,PCdb[[#This Row],[ROUND_D]]&lt;UIoptions!$T$15),1,0),1)</f>
        <v>1</v>
      </c>
      <c r="BI237" s="38">
        <f>IF(UIoptions!$N$75&lt;&gt;1,1,IF(AND(PCdb[[#This Row],[FL]]&gt;UIoptions!$S$16,PCdb[[#This Row],[FL]]&lt;UIoptions!$T$16),1,0))</f>
        <v>0</v>
      </c>
      <c r="BJ237" s="38" t="e">
        <f>IF(OR(UIoptions!$Q$18=PCdb[[#This Row],[THRU_SCREW]],UIoptions!$Q$18="NA"),1,0)</f>
        <v>#N/A</v>
      </c>
      <c r="BK237" s="38">
        <f>IF(OR(UIoptions!$P$19=PCdb[[#This Row],[THREAD_SZ]],UIoptions!$P$19="NA"),1,0)</f>
        <v>1</v>
      </c>
      <c r="BL237" s="38">
        <f>IF(UIoptions!$N$75=1,1,IF(AND(PCdb[[#This Row],[THREAD_L]]&gt;UIoptions!$S$17,PCdb[[#This Row],[THREAD_L]]&lt;UIoptions!$T$17),1,0))</f>
        <v>1</v>
      </c>
      <c r="BM237" s="38" t="e">
        <f>IF(SUM(PCdb[[#This Row],[BDhit]:[THREAD_Lhit]])=11,1,0)</f>
        <v>#N/A</v>
      </c>
      <c r="BN23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70504143060NA6M4NANA4</v>
      </c>
      <c r="BO237" s="38" t="e">
        <f>SUM(PCdb[[#This Row],[BDhit]:[THREAD_Lhit]])</f>
        <v>#N/A</v>
      </c>
    </row>
    <row r="238" spans="1:67" x14ac:dyDescent="0.25">
      <c r="A238" s="7">
        <v>242</v>
      </c>
      <c r="B238" s="93">
        <v>75</v>
      </c>
      <c r="C238" s="93">
        <v>60</v>
      </c>
      <c r="D238" s="93">
        <v>4</v>
      </c>
      <c r="E238" s="93">
        <v>11</v>
      </c>
      <c r="F238" s="93">
        <v>25.5</v>
      </c>
      <c r="G238" s="93" t="s">
        <v>87</v>
      </c>
      <c r="H238" s="93">
        <v>90</v>
      </c>
      <c r="I238" s="93" t="s">
        <v>87</v>
      </c>
      <c r="J238" s="93" t="s">
        <v>87</v>
      </c>
      <c r="K238" s="93" t="s">
        <v>45</v>
      </c>
      <c r="L238" s="93">
        <v>10</v>
      </c>
      <c r="M238" s="93">
        <v>4</v>
      </c>
      <c r="N238" s="38">
        <v>6</v>
      </c>
      <c r="O238" s="38"/>
      <c r="P238" s="38"/>
      <c r="Q238" s="38"/>
      <c r="R238" s="38"/>
      <c r="S238" s="38"/>
      <c r="T238" s="38"/>
      <c r="U238" s="38"/>
      <c r="V238" s="25">
        <v>41.7</v>
      </c>
      <c r="W238" s="38">
        <v>32</v>
      </c>
      <c r="X238" s="38" t="s">
        <v>87</v>
      </c>
      <c r="Y238" s="38" t="s">
        <v>130</v>
      </c>
      <c r="Z238" s="34" t="s">
        <v>647</v>
      </c>
      <c r="AA238" s="38">
        <v>45</v>
      </c>
      <c r="AB238" s="38">
        <v>90</v>
      </c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>
        <f>IF(AND(PCdb[[#This Row],[BCD]]&gt;UIoptions!$S$10,PCdb[[#This Row],[BCD]]&lt;UIoptions!$T$10),1,0)</f>
        <v>1</v>
      </c>
      <c r="BC238" s="38">
        <f>IF(AND(PCdb[[#This Row],[PD]]&gt;UIoptions!$S$11,PCdb[[#This Row],[PD]]&lt;UIoptions!$T$11),1,0)</f>
        <v>1</v>
      </c>
      <c r="BD238" s="38">
        <f>IF(AND(UIoptions!$P$14&lt;=PCdb[[#This Row],[PL (MAX)]],UIoptions!$P$14&gt;UIoptions!$S$14),1,0)</f>
        <v>1</v>
      </c>
      <c r="BE238" s="38">
        <f>IF(AND(PCdb[[#This Row],[SD]]&gt;UIoptions!$S$12,PCdb[[#This Row],[SD]]&lt;UIoptions!$T$12),1,0)</f>
        <v>1</v>
      </c>
      <c r="BF238" s="38">
        <f>IF(AND(PCdb[[#This Row],[SL]]&gt;UIoptions!$S$13,PCdb[[#This Row],[SL]]&lt;UIoptions!$T$13),1,0)</f>
        <v>0</v>
      </c>
      <c r="BG238" s="38">
        <f>IF(UIoptions!$N$35=1,IF(AND(PCdb[[#This Row],[SQ_SZ]]&gt;UIoptions!$S$15,PCdb[[#This Row],[SQ_SZ]]&lt;UIoptions!$T$15),1,0),1)</f>
        <v>0</v>
      </c>
      <c r="BH238" s="38">
        <f>IF(UIoptions!$N$35=2,IF(AND(PCdb[[#This Row],[ROUND_D]]&gt;UIoptions!$S$15,PCdb[[#This Row],[ROUND_D]]&lt;UIoptions!$T$15),1,0),1)</f>
        <v>1</v>
      </c>
      <c r="BI238" s="38">
        <f>IF(UIoptions!$N$75&lt;&gt;1,1,IF(AND(PCdb[[#This Row],[FL]]&gt;UIoptions!$S$16,PCdb[[#This Row],[FL]]&lt;UIoptions!$T$16),1,0))</f>
        <v>0</v>
      </c>
      <c r="BJ238" s="38" t="e">
        <f>IF(OR(UIoptions!$Q$18=PCdb[[#This Row],[THRU_SCREW]],UIoptions!$Q$18="NA"),1,0)</f>
        <v>#N/A</v>
      </c>
      <c r="BK238" s="38">
        <f>IF(OR(UIoptions!$P$19=PCdb[[#This Row],[THREAD_SZ]],UIoptions!$P$19="NA"),1,0)</f>
        <v>1</v>
      </c>
      <c r="BL238" s="38">
        <f>IF(UIoptions!$N$75=1,1,IF(AND(PCdb[[#This Row],[THREAD_L]]&gt;UIoptions!$S$17,PCdb[[#This Row],[THREAD_L]]&lt;UIoptions!$T$17),1,0))</f>
        <v>1</v>
      </c>
      <c r="BM238" s="38" t="e">
        <f>IF(SUM(PCdb[[#This Row],[BDhit]:[THREAD_Lhit]])=11,1,0)</f>
        <v>#N/A</v>
      </c>
      <c r="BN23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756041125.5NA90NANAM5104</v>
      </c>
      <c r="BO238" s="38" t="e">
        <f>SUM(PCdb[[#This Row],[BDhit]:[THREAD_Lhit]])</f>
        <v>#N/A</v>
      </c>
    </row>
    <row r="239" spans="1:67" x14ac:dyDescent="0.25">
      <c r="A239" s="7">
        <v>243</v>
      </c>
      <c r="B239" s="93">
        <v>68</v>
      </c>
      <c r="C239" s="93">
        <v>50</v>
      </c>
      <c r="D239" s="93">
        <v>6</v>
      </c>
      <c r="E239" s="93">
        <v>14</v>
      </c>
      <c r="F239" s="93">
        <v>36</v>
      </c>
      <c r="G239" s="93" t="s">
        <v>87</v>
      </c>
      <c r="H239" s="93">
        <v>80</v>
      </c>
      <c r="I239" s="93">
        <v>15</v>
      </c>
      <c r="J239" s="93" t="s">
        <v>49</v>
      </c>
      <c r="K239" s="93" t="s">
        <v>87</v>
      </c>
      <c r="L239" s="93" t="s">
        <v>87</v>
      </c>
      <c r="M239" s="93">
        <v>4</v>
      </c>
      <c r="N239" s="38" t="s">
        <v>49</v>
      </c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 t="s">
        <v>87</v>
      </c>
      <c r="AQ239" s="38" t="s">
        <v>87</v>
      </c>
      <c r="AR239" s="38" t="s">
        <v>130</v>
      </c>
      <c r="AS239" s="38" t="s">
        <v>649</v>
      </c>
      <c r="AT239" s="38">
        <v>45</v>
      </c>
      <c r="AU239" s="38">
        <v>90</v>
      </c>
      <c r="AV239" s="38"/>
      <c r="AW239" s="38"/>
      <c r="AX239" s="38"/>
      <c r="AY239" s="38"/>
      <c r="AZ239" s="38"/>
      <c r="BA239" s="38"/>
      <c r="BB239" s="38">
        <f>IF(AND(PCdb[[#This Row],[BCD]]&gt;UIoptions!$S$10,PCdb[[#This Row],[BCD]]&lt;UIoptions!$T$10),1,0)</f>
        <v>0</v>
      </c>
      <c r="BC239" s="38">
        <f>IF(AND(PCdb[[#This Row],[PD]]&gt;UIoptions!$S$11,PCdb[[#This Row],[PD]]&lt;UIoptions!$T$11),1,0)</f>
        <v>0</v>
      </c>
      <c r="BD239" s="38">
        <f>IF(AND(UIoptions!$P$14&lt;=PCdb[[#This Row],[PL (MAX)]],UIoptions!$P$14&gt;UIoptions!$S$14),1,0)</f>
        <v>1</v>
      </c>
      <c r="BE239" s="38">
        <f>IF(AND(PCdb[[#This Row],[SD]]&gt;UIoptions!$S$12,PCdb[[#This Row],[SD]]&lt;UIoptions!$T$12),1,0)</f>
        <v>0</v>
      </c>
      <c r="BF239" s="38">
        <f>IF(AND(PCdb[[#This Row],[SL]]&gt;UIoptions!$S$13,PCdb[[#This Row],[SL]]&lt;UIoptions!$T$13),1,0)</f>
        <v>0</v>
      </c>
      <c r="BG239" s="38">
        <f>IF(UIoptions!$N$35=1,IF(AND(PCdb[[#This Row],[SQ_SZ]]&gt;UIoptions!$S$15,PCdb[[#This Row],[SQ_SZ]]&lt;UIoptions!$T$15),1,0),1)</f>
        <v>0</v>
      </c>
      <c r="BH239" s="38">
        <f>IF(UIoptions!$N$35=2,IF(AND(PCdb[[#This Row],[ROUND_D]]&gt;UIoptions!$S$15,PCdb[[#This Row],[ROUND_D]]&lt;UIoptions!$T$15),1,0),1)</f>
        <v>1</v>
      </c>
      <c r="BI239" s="38">
        <f>IF(UIoptions!$N$75&lt;&gt;1,1,IF(AND(PCdb[[#This Row],[FL]]&gt;UIoptions!$S$16,PCdb[[#This Row],[FL]]&lt;UIoptions!$T$16),1,0))</f>
        <v>0</v>
      </c>
      <c r="BJ239" s="38" t="e">
        <f>IF(OR(UIoptions!$Q$18=PCdb[[#This Row],[THRU_SCREW]],UIoptions!$Q$18="NA"),1,0)</f>
        <v>#N/A</v>
      </c>
      <c r="BK239" s="38">
        <f>IF(OR(UIoptions!$P$19=PCdb[[#This Row],[THREAD_SZ]],UIoptions!$P$19="NA"),1,0)</f>
        <v>1</v>
      </c>
      <c r="BL239" s="38">
        <f>IF(UIoptions!$N$75=1,1,IF(AND(PCdb[[#This Row],[THREAD_L]]&gt;UIoptions!$S$17,PCdb[[#This Row],[THREAD_L]]&lt;UIoptions!$T$17),1,0))</f>
        <v>1</v>
      </c>
      <c r="BM239" s="38" t="e">
        <f>IF(SUM(PCdb[[#This Row],[BDhit]:[THREAD_Lhit]])=11,1,0)</f>
        <v>#N/A</v>
      </c>
      <c r="BN23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685061436NA8015M6NANA4</v>
      </c>
      <c r="BO239" s="38" t="e">
        <f>SUM(PCdb[[#This Row],[BDhit]:[THREAD_Lhit]])</f>
        <v>#N/A</v>
      </c>
    </row>
    <row r="240" spans="1:67" x14ac:dyDescent="0.25">
      <c r="A240" s="7">
        <v>244</v>
      </c>
      <c r="B240" s="93">
        <v>75</v>
      </c>
      <c r="C240" s="93">
        <v>60</v>
      </c>
      <c r="D240" s="93">
        <v>4</v>
      </c>
      <c r="E240" s="93">
        <v>14</v>
      </c>
      <c r="F240" s="93">
        <v>30</v>
      </c>
      <c r="G240" s="93">
        <v>67</v>
      </c>
      <c r="H240" s="93" t="s">
        <v>87</v>
      </c>
      <c r="I240" s="93">
        <v>7.5</v>
      </c>
      <c r="J240" s="93" t="s">
        <v>45</v>
      </c>
      <c r="K240" s="93" t="s">
        <v>87</v>
      </c>
      <c r="L240" s="93" t="s">
        <v>87</v>
      </c>
      <c r="M240" s="93">
        <v>4</v>
      </c>
      <c r="N240" s="38" t="s">
        <v>45</v>
      </c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>
        <v>31.5</v>
      </c>
      <c r="AW240" s="38" t="s">
        <v>87</v>
      </c>
      <c r="AX240" s="38" t="s">
        <v>130</v>
      </c>
      <c r="AY240" s="38" t="s">
        <v>176</v>
      </c>
      <c r="AZ240" s="38">
        <v>45</v>
      </c>
      <c r="BA240" s="38">
        <v>90</v>
      </c>
      <c r="BB240" s="38">
        <f>IF(AND(PCdb[[#This Row],[BCD]]&gt;UIoptions!$S$10,PCdb[[#This Row],[BCD]]&lt;UIoptions!$T$10),1,0)</f>
        <v>1</v>
      </c>
      <c r="BC240" s="38">
        <f>IF(AND(PCdb[[#This Row],[PD]]&gt;UIoptions!$S$11,PCdb[[#This Row],[PD]]&lt;UIoptions!$T$11),1,0)</f>
        <v>1</v>
      </c>
      <c r="BD240" s="38">
        <f>IF(AND(UIoptions!$P$14&lt;=PCdb[[#This Row],[PL (MAX)]],UIoptions!$P$14&gt;UIoptions!$S$14),1,0)</f>
        <v>1</v>
      </c>
      <c r="BE240" s="38">
        <f>IF(AND(PCdb[[#This Row],[SD]]&gt;UIoptions!$S$12,PCdb[[#This Row],[SD]]&lt;UIoptions!$T$12),1,0)</f>
        <v>0</v>
      </c>
      <c r="BF240" s="38">
        <f>IF(AND(PCdb[[#This Row],[SL]]&gt;UIoptions!$S$13,PCdb[[#This Row],[SL]]&lt;UIoptions!$T$13),1,0)</f>
        <v>0</v>
      </c>
      <c r="BG240" s="38">
        <f>IF(UIoptions!$N$35=1,IF(AND(PCdb[[#This Row],[SQ_SZ]]&gt;UIoptions!$S$15,PCdb[[#This Row],[SQ_SZ]]&lt;UIoptions!$T$15),1,0),1)</f>
        <v>0</v>
      </c>
      <c r="BH240" s="38">
        <f>IF(UIoptions!$N$35=2,IF(AND(PCdb[[#This Row],[ROUND_D]]&gt;UIoptions!$S$15,PCdb[[#This Row],[ROUND_D]]&lt;UIoptions!$T$15),1,0),1)</f>
        <v>1</v>
      </c>
      <c r="BI240" s="38">
        <f>IF(UIoptions!$N$75&lt;&gt;1,1,IF(AND(PCdb[[#This Row],[FL]]&gt;UIoptions!$S$16,PCdb[[#This Row],[FL]]&lt;UIoptions!$T$16),1,0))</f>
        <v>0</v>
      </c>
      <c r="BJ240" s="38" t="e">
        <f>IF(OR(UIoptions!$Q$18=PCdb[[#This Row],[THRU_SCREW]],UIoptions!$Q$18="NA"),1,0)</f>
        <v>#N/A</v>
      </c>
      <c r="BK240" s="38">
        <f>IF(OR(UIoptions!$P$19=PCdb[[#This Row],[THREAD_SZ]],UIoptions!$P$19="NA"),1,0)</f>
        <v>1</v>
      </c>
      <c r="BL240" s="38">
        <f>IF(UIoptions!$N$75=1,1,IF(AND(PCdb[[#This Row],[THREAD_L]]&gt;UIoptions!$S$17,PCdb[[#This Row],[THREAD_L]]&lt;UIoptions!$T$17),1,0))</f>
        <v>1</v>
      </c>
      <c r="BM240" s="38" t="e">
        <f>IF(SUM(PCdb[[#This Row],[BDhit]:[THREAD_Lhit]])=11,1,0)</f>
        <v>#N/A</v>
      </c>
      <c r="BN24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75604143067NA7.5M5NANA4</v>
      </c>
      <c r="BO240" s="38" t="e">
        <f>SUM(PCdb[[#This Row],[BDhit]:[THREAD_Lhit]])</f>
        <v>#N/A</v>
      </c>
    </row>
    <row r="241" spans="1:67" x14ac:dyDescent="0.25">
      <c r="A241" s="7">
        <v>245</v>
      </c>
      <c r="B241" s="93">
        <v>66.7</v>
      </c>
      <c r="C241" s="93">
        <v>38.1</v>
      </c>
      <c r="D241" s="93">
        <v>4</v>
      </c>
      <c r="E241" s="93">
        <v>8</v>
      </c>
      <c r="F241" s="93">
        <v>24</v>
      </c>
      <c r="G241" s="93">
        <v>60</v>
      </c>
      <c r="H241" s="93" t="s">
        <v>87</v>
      </c>
      <c r="I241" s="93">
        <v>5</v>
      </c>
      <c r="J241" s="93" t="s">
        <v>7</v>
      </c>
      <c r="K241" s="93" t="s">
        <v>87</v>
      </c>
      <c r="L241" s="93" t="s">
        <v>87</v>
      </c>
      <c r="M241" s="93">
        <v>4</v>
      </c>
      <c r="N241" s="38" t="s">
        <v>7</v>
      </c>
      <c r="O241" s="25">
        <v>36.200000000000003</v>
      </c>
      <c r="P241" s="38">
        <v>22</v>
      </c>
      <c r="Q241" s="38" t="s">
        <v>87</v>
      </c>
      <c r="R241" s="38" t="s">
        <v>130</v>
      </c>
      <c r="S241" s="38" t="s">
        <v>172</v>
      </c>
      <c r="T241" s="38">
        <v>45</v>
      </c>
      <c r="U241" s="38">
        <v>90</v>
      </c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>
        <v>25</v>
      </c>
      <c r="AW241" s="38" t="s">
        <v>87</v>
      </c>
      <c r="AX241" s="38" t="s">
        <v>130</v>
      </c>
      <c r="AY241" s="38" t="s">
        <v>176</v>
      </c>
      <c r="AZ241" s="38">
        <v>45</v>
      </c>
      <c r="BA241" s="38">
        <v>90</v>
      </c>
      <c r="BB241" s="38">
        <f>IF(AND(PCdb[[#This Row],[BCD]]&gt;UIoptions!$S$10,PCdb[[#This Row],[BCD]]&lt;UIoptions!$T$10),1,0)</f>
        <v>0</v>
      </c>
      <c r="BC241" s="38">
        <f>IF(AND(PCdb[[#This Row],[PD]]&gt;UIoptions!$S$11,PCdb[[#This Row],[PD]]&lt;UIoptions!$T$11),1,0)</f>
        <v>0</v>
      </c>
      <c r="BD241" s="38">
        <f>IF(AND(UIoptions!$P$14&lt;=PCdb[[#This Row],[PL (MAX)]],UIoptions!$P$14&gt;UIoptions!$S$14),1,0)</f>
        <v>1</v>
      </c>
      <c r="BE241" s="38">
        <f>IF(AND(PCdb[[#This Row],[SD]]&gt;UIoptions!$S$12,PCdb[[#This Row],[SD]]&lt;UIoptions!$T$12),1,0)</f>
        <v>0</v>
      </c>
      <c r="BF241" s="38">
        <f>IF(AND(PCdb[[#This Row],[SL]]&gt;UIoptions!$S$13,PCdb[[#This Row],[SL]]&lt;UIoptions!$T$13),1,0)</f>
        <v>0</v>
      </c>
      <c r="BG241" s="38">
        <f>IF(UIoptions!$N$35=1,IF(AND(PCdb[[#This Row],[SQ_SZ]]&gt;UIoptions!$S$15,PCdb[[#This Row],[SQ_SZ]]&lt;UIoptions!$T$15),1,0),1)</f>
        <v>0</v>
      </c>
      <c r="BH241" s="38">
        <f>IF(UIoptions!$N$35=2,IF(AND(PCdb[[#This Row],[ROUND_D]]&gt;UIoptions!$S$15,PCdb[[#This Row],[ROUND_D]]&lt;UIoptions!$T$15),1,0),1)</f>
        <v>1</v>
      </c>
      <c r="BI241" s="38">
        <f>IF(UIoptions!$N$75&lt;&gt;1,1,IF(AND(PCdb[[#This Row],[FL]]&gt;UIoptions!$S$16,PCdb[[#This Row],[FL]]&lt;UIoptions!$T$16),1,0))</f>
        <v>0</v>
      </c>
      <c r="BJ241" s="38" t="e">
        <f>IF(OR(UIoptions!$Q$18=PCdb[[#This Row],[THRU_SCREW]],UIoptions!$Q$18="NA"),1,0)</f>
        <v>#N/A</v>
      </c>
      <c r="BK241" s="38">
        <f>IF(OR(UIoptions!$P$19=PCdb[[#This Row],[THREAD_SZ]],UIoptions!$P$19="NA"),1,0)</f>
        <v>1</v>
      </c>
      <c r="BL241" s="38">
        <f>IF(UIoptions!$N$75=1,1,IF(AND(PCdb[[#This Row],[THREAD_L]]&gt;UIoptions!$S$17,PCdb[[#This Row],[THREAD_L]]&lt;UIoptions!$T$17),1,0))</f>
        <v>1</v>
      </c>
      <c r="BM241" s="38" t="e">
        <f>IF(SUM(PCdb[[#This Row],[BDhit]:[THREAD_Lhit]])=11,1,0)</f>
        <v>#N/A</v>
      </c>
      <c r="BN24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66.738.1482460NA5M4NANA4</v>
      </c>
      <c r="BO241" s="38" t="e">
        <f>SUM(PCdb[[#This Row],[BDhit]:[THREAD_Lhit]])</f>
        <v>#N/A</v>
      </c>
    </row>
    <row r="242" spans="1:67" x14ac:dyDescent="0.25">
      <c r="A242" s="7">
        <v>246</v>
      </c>
      <c r="B242" s="93">
        <v>45.3</v>
      </c>
      <c r="C242" s="93">
        <v>25</v>
      </c>
      <c r="D242" s="93">
        <v>4</v>
      </c>
      <c r="E242" s="93">
        <v>8</v>
      </c>
      <c r="F242" s="93">
        <v>20</v>
      </c>
      <c r="G242" s="93">
        <v>42</v>
      </c>
      <c r="H242" s="93" t="s">
        <v>87</v>
      </c>
      <c r="I242" s="93" t="s">
        <v>87</v>
      </c>
      <c r="J242" s="93" t="s">
        <v>87</v>
      </c>
      <c r="K242" s="93" t="s">
        <v>105</v>
      </c>
      <c r="L242" s="93">
        <v>5</v>
      </c>
      <c r="M242" s="93">
        <v>4</v>
      </c>
      <c r="N242" s="38">
        <v>4</v>
      </c>
      <c r="O242" s="25">
        <v>38.700000000000003</v>
      </c>
      <c r="P242" s="38" t="s">
        <v>87</v>
      </c>
      <c r="Q242" s="38" t="s">
        <v>87</v>
      </c>
      <c r="R242" s="38" t="s">
        <v>130</v>
      </c>
      <c r="S242" s="34" t="s">
        <v>650</v>
      </c>
      <c r="T242" s="38">
        <v>45</v>
      </c>
      <c r="U242" s="38">
        <v>90</v>
      </c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>
        <f>IF(AND(PCdb[[#This Row],[BCD]]&gt;UIoptions!$S$10,PCdb[[#This Row],[BCD]]&lt;UIoptions!$T$10),1,0)</f>
        <v>0</v>
      </c>
      <c r="BC242" s="38">
        <f>IF(AND(PCdb[[#This Row],[PD]]&gt;UIoptions!$S$11,PCdb[[#This Row],[PD]]&lt;UIoptions!$T$11),1,0)</f>
        <v>0</v>
      </c>
      <c r="BD242" s="38">
        <f>IF(AND(UIoptions!$P$14&lt;=PCdb[[#This Row],[PL (MAX)]],UIoptions!$P$14&gt;UIoptions!$S$14),1,0)</f>
        <v>1</v>
      </c>
      <c r="BE242" s="38">
        <f>IF(AND(PCdb[[#This Row],[SD]]&gt;UIoptions!$S$12,PCdb[[#This Row],[SD]]&lt;UIoptions!$T$12),1,0)</f>
        <v>0</v>
      </c>
      <c r="BF242" s="38">
        <f>IF(AND(PCdb[[#This Row],[SL]]&gt;UIoptions!$S$13,PCdb[[#This Row],[SL]]&lt;UIoptions!$T$13),1,0)</f>
        <v>0</v>
      </c>
      <c r="BG242" s="38">
        <f>IF(UIoptions!$N$35=1,IF(AND(PCdb[[#This Row],[SQ_SZ]]&gt;UIoptions!$S$15,PCdb[[#This Row],[SQ_SZ]]&lt;UIoptions!$T$15),1,0),1)</f>
        <v>0</v>
      </c>
      <c r="BH242" s="38">
        <f>IF(UIoptions!$N$35=2,IF(AND(PCdb[[#This Row],[ROUND_D]]&gt;UIoptions!$S$15,PCdb[[#This Row],[ROUND_D]]&lt;UIoptions!$T$15),1,0),1)</f>
        <v>1</v>
      </c>
      <c r="BI242" s="38">
        <f>IF(UIoptions!$N$75&lt;&gt;1,1,IF(AND(PCdb[[#This Row],[FL]]&gt;UIoptions!$S$16,PCdb[[#This Row],[FL]]&lt;UIoptions!$T$16),1,0))</f>
        <v>0</v>
      </c>
      <c r="BJ242" s="38" t="e">
        <f>IF(OR(UIoptions!$Q$18=PCdb[[#This Row],[THRU_SCREW]],UIoptions!$Q$18="NA"),1,0)</f>
        <v>#N/A</v>
      </c>
      <c r="BK242" s="38">
        <f>IF(OR(UIoptions!$P$19=PCdb[[#This Row],[THREAD_SZ]],UIoptions!$P$19="NA"),1,0)</f>
        <v>1</v>
      </c>
      <c r="BL242" s="38">
        <f>IF(UIoptions!$N$75=1,1,IF(AND(PCdb[[#This Row],[THREAD_L]]&gt;UIoptions!$S$17,PCdb[[#This Row],[THREAD_L]]&lt;UIoptions!$T$17),1,0))</f>
        <v>1</v>
      </c>
      <c r="BM242" s="38" t="e">
        <f>IF(SUM(PCdb[[#This Row],[BDhit]:[THREAD_Lhit]])=11,1,0)</f>
        <v>#N/A</v>
      </c>
      <c r="BN24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45.325482042NANANAM354</v>
      </c>
      <c r="BO242" s="38" t="e">
        <f>SUM(PCdb[[#This Row],[BDhit]:[THREAD_Lhit]])</f>
        <v>#N/A</v>
      </c>
    </row>
    <row r="243" spans="1:67" x14ac:dyDescent="0.25">
      <c r="A243" s="7">
        <v>247</v>
      </c>
      <c r="B243" s="93">
        <v>75</v>
      </c>
      <c r="C243" s="93">
        <v>60</v>
      </c>
      <c r="D243" s="93">
        <v>4</v>
      </c>
      <c r="E243" s="93">
        <v>11</v>
      </c>
      <c r="F243" s="93">
        <v>23</v>
      </c>
      <c r="G243" s="93">
        <v>68</v>
      </c>
      <c r="H243" s="93" t="s">
        <v>87</v>
      </c>
      <c r="I243" s="93">
        <v>8.5</v>
      </c>
      <c r="J243" s="93" t="s">
        <v>45</v>
      </c>
      <c r="K243" s="93" t="s">
        <v>87</v>
      </c>
      <c r="L243" s="93" t="s">
        <v>87</v>
      </c>
      <c r="M243" s="93">
        <v>4</v>
      </c>
      <c r="N243" s="38" t="s">
        <v>45</v>
      </c>
      <c r="O243" s="38"/>
      <c r="P243" s="38"/>
      <c r="Q243" s="38"/>
      <c r="R243" s="38"/>
      <c r="S243" s="38"/>
      <c r="T243" s="38"/>
      <c r="U243" s="38"/>
      <c r="V243" s="25">
        <v>45.2</v>
      </c>
      <c r="W243" s="38">
        <v>32</v>
      </c>
      <c r="X243" s="38" t="s">
        <v>87</v>
      </c>
      <c r="Y243" s="38" t="s">
        <v>130</v>
      </c>
      <c r="Z243" s="38" t="s">
        <v>172</v>
      </c>
      <c r="AA243" s="38">
        <v>45</v>
      </c>
      <c r="AB243" s="38">
        <v>90</v>
      </c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>
        <f>IF(AND(PCdb[[#This Row],[BCD]]&gt;UIoptions!$S$10,PCdb[[#This Row],[BCD]]&lt;UIoptions!$T$10),1,0)</f>
        <v>1</v>
      </c>
      <c r="BC243" s="38">
        <f>IF(AND(PCdb[[#This Row],[PD]]&gt;UIoptions!$S$11,PCdb[[#This Row],[PD]]&lt;UIoptions!$T$11),1,0)</f>
        <v>1</v>
      </c>
      <c r="BD243" s="38">
        <f>IF(AND(UIoptions!$P$14&lt;=PCdb[[#This Row],[PL (MAX)]],UIoptions!$P$14&gt;UIoptions!$S$14),1,0)</f>
        <v>1</v>
      </c>
      <c r="BE243" s="38">
        <f>IF(AND(PCdb[[#This Row],[SD]]&gt;UIoptions!$S$12,PCdb[[#This Row],[SD]]&lt;UIoptions!$T$12),1,0)</f>
        <v>1</v>
      </c>
      <c r="BF243" s="38">
        <f>IF(AND(PCdb[[#This Row],[SL]]&gt;UIoptions!$S$13,PCdb[[#This Row],[SL]]&lt;UIoptions!$T$13),1,0)</f>
        <v>1</v>
      </c>
      <c r="BG243" s="38">
        <f>IF(UIoptions!$N$35=1,IF(AND(PCdb[[#This Row],[SQ_SZ]]&gt;UIoptions!$S$15,PCdb[[#This Row],[SQ_SZ]]&lt;UIoptions!$T$15),1,0),1)</f>
        <v>0</v>
      </c>
      <c r="BH243" s="38">
        <f>IF(UIoptions!$N$35=2,IF(AND(PCdb[[#This Row],[ROUND_D]]&gt;UIoptions!$S$15,PCdb[[#This Row],[ROUND_D]]&lt;UIoptions!$T$15),1,0),1)</f>
        <v>1</v>
      </c>
      <c r="BI243" s="38">
        <f>IF(UIoptions!$N$75&lt;&gt;1,1,IF(AND(PCdb[[#This Row],[FL]]&gt;UIoptions!$S$16,PCdb[[#This Row],[FL]]&lt;UIoptions!$T$16),1,0))</f>
        <v>0</v>
      </c>
      <c r="BJ243" s="38" t="e">
        <f>IF(OR(UIoptions!$Q$18=PCdb[[#This Row],[THRU_SCREW]],UIoptions!$Q$18="NA"),1,0)</f>
        <v>#N/A</v>
      </c>
      <c r="BK243" s="38">
        <f>IF(OR(UIoptions!$P$19=PCdb[[#This Row],[THREAD_SZ]],UIoptions!$P$19="NA"),1,0)</f>
        <v>1</v>
      </c>
      <c r="BL243" s="38">
        <f>IF(UIoptions!$N$75=1,1,IF(AND(PCdb[[#This Row],[THREAD_L]]&gt;UIoptions!$S$17,PCdb[[#This Row],[THREAD_L]]&lt;UIoptions!$T$17),1,0))</f>
        <v>1</v>
      </c>
      <c r="BM243" s="38" t="e">
        <f>IF(SUM(PCdb[[#This Row],[BDhit]:[THREAD_Lhit]])=11,1,0)</f>
        <v>#N/A</v>
      </c>
      <c r="BN24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75604112368NA8.5M5NANA4</v>
      </c>
      <c r="BO243" s="38" t="e">
        <f>SUM(PCdb[[#This Row],[BDhit]:[THREAD_Lhit]])</f>
        <v>#N/A</v>
      </c>
    </row>
    <row r="244" spans="1:67" x14ac:dyDescent="0.25">
      <c r="A244" s="7">
        <v>248</v>
      </c>
      <c r="B244" s="93">
        <v>50</v>
      </c>
      <c r="C244" s="93">
        <v>35</v>
      </c>
      <c r="D244" s="93">
        <v>5.5</v>
      </c>
      <c r="E244" s="93">
        <v>13</v>
      </c>
      <c r="F244" s="93">
        <v>25.5</v>
      </c>
      <c r="G244" s="93">
        <v>43</v>
      </c>
      <c r="H244" s="93" t="s">
        <v>87</v>
      </c>
      <c r="I244" s="93">
        <v>4.8</v>
      </c>
      <c r="J244" s="93" t="s">
        <v>105</v>
      </c>
      <c r="K244" s="93" t="s">
        <v>87</v>
      </c>
      <c r="L244" s="93" t="s">
        <v>87</v>
      </c>
      <c r="M244" s="93">
        <v>4</v>
      </c>
      <c r="N244" s="38" t="s">
        <v>105</v>
      </c>
      <c r="O244" s="38"/>
      <c r="P244" s="38"/>
      <c r="Q244" s="38"/>
      <c r="R244" s="38"/>
      <c r="S244" s="38"/>
      <c r="T244" s="38"/>
      <c r="U244" s="38"/>
      <c r="V244" s="25">
        <v>45.2</v>
      </c>
      <c r="W244" s="38" t="s">
        <v>87</v>
      </c>
      <c r="X244" s="38" t="s">
        <v>87</v>
      </c>
      <c r="Y244" s="38" t="s">
        <v>180</v>
      </c>
      <c r="Z244" s="34" t="s">
        <v>652</v>
      </c>
      <c r="AA244" s="38">
        <v>45</v>
      </c>
      <c r="AB244" s="38">
        <v>90</v>
      </c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>
        <f>IF(AND(PCdb[[#This Row],[BCD]]&gt;UIoptions!$S$10,PCdb[[#This Row],[BCD]]&lt;UIoptions!$T$10),1,0)</f>
        <v>0</v>
      </c>
      <c r="BC244" s="38">
        <f>IF(AND(PCdb[[#This Row],[PD]]&gt;UIoptions!$S$11,PCdb[[#This Row],[PD]]&lt;UIoptions!$T$11),1,0)</f>
        <v>0</v>
      </c>
      <c r="BD244" s="38">
        <f>IF(AND(UIoptions!$P$14&lt;=PCdb[[#This Row],[PL (MAX)]],UIoptions!$P$14&gt;UIoptions!$S$14),1,0)</f>
        <v>1</v>
      </c>
      <c r="BE244" s="38">
        <f>IF(AND(PCdb[[#This Row],[SD]]&gt;UIoptions!$S$12,PCdb[[#This Row],[SD]]&lt;UIoptions!$T$12),1,0)</f>
        <v>0</v>
      </c>
      <c r="BF244" s="38">
        <f>IF(AND(PCdb[[#This Row],[SL]]&gt;UIoptions!$S$13,PCdb[[#This Row],[SL]]&lt;UIoptions!$T$13),1,0)</f>
        <v>0</v>
      </c>
      <c r="BG244" s="38">
        <f>IF(UIoptions!$N$35=1,IF(AND(PCdb[[#This Row],[SQ_SZ]]&gt;UIoptions!$S$15,PCdb[[#This Row],[SQ_SZ]]&lt;UIoptions!$T$15),1,0),1)</f>
        <v>0</v>
      </c>
      <c r="BH244" s="38">
        <f>IF(UIoptions!$N$35=2,IF(AND(PCdb[[#This Row],[ROUND_D]]&gt;UIoptions!$S$15,PCdb[[#This Row],[ROUND_D]]&lt;UIoptions!$T$15),1,0),1)</f>
        <v>1</v>
      </c>
      <c r="BI244" s="38">
        <f>IF(UIoptions!$N$75&lt;&gt;1,1,IF(AND(PCdb[[#This Row],[FL]]&gt;UIoptions!$S$16,PCdb[[#This Row],[FL]]&lt;UIoptions!$T$16),1,0))</f>
        <v>0</v>
      </c>
      <c r="BJ244" s="38" t="e">
        <f>IF(OR(UIoptions!$Q$18=PCdb[[#This Row],[THRU_SCREW]],UIoptions!$Q$18="NA"),1,0)</f>
        <v>#N/A</v>
      </c>
      <c r="BK244" s="38">
        <f>IF(OR(UIoptions!$P$19=PCdb[[#This Row],[THREAD_SZ]],UIoptions!$P$19="NA"),1,0)</f>
        <v>1</v>
      </c>
      <c r="BL244" s="38">
        <f>IF(UIoptions!$N$75=1,1,IF(AND(PCdb[[#This Row],[THREAD_L]]&gt;UIoptions!$S$17,PCdb[[#This Row],[THREAD_L]]&lt;UIoptions!$T$17),1,0))</f>
        <v>1</v>
      </c>
      <c r="BM244" s="38" t="e">
        <f>IF(SUM(PCdb[[#This Row],[BDhit]:[THREAD_Lhit]])=11,1,0)</f>
        <v>#N/A</v>
      </c>
      <c r="BN24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50355.51325.543NA4.8M3NANA4</v>
      </c>
      <c r="BO244" s="38" t="e">
        <f>SUM(PCdb[[#This Row],[BDhit]:[THREAD_Lhit]])</f>
        <v>#N/A</v>
      </c>
    </row>
    <row r="245" spans="1:67" x14ac:dyDescent="0.25">
      <c r="A245" s="7">
        <v>249</v>
      </c>
      <c r="B245" s="93">
        <v>32</v>
      </c>
      <c r="C245" s="93">
        <v>25</v>
      </c>
      <c r="D245" s="93">
        <v>2.8</v>
      </c>
      <c r="E245" s="93">
        <v>8</v>
      </c>
      <c r="F245" s="93">
        <v>25</v>
      </c>
      <c r="G245" s="93" t="s">
        <v>87</v>
      </c>
      <c r="H245" s="93">
        <v>42</v>
      </c>
      <c r="I245" s="93" t="s">
        <v>87</v>
      </c>
      <c r="J245" s="93" t="s">
        <v>87</v>
      </c>
      <c r="K245" s="93" t="s">
        <v>7</v>
      </c>
      <c r="L245" s="93">
        <v>10</v>
      </c>
      <c r="M245" s="93">
        <v>4</v>
      </c>
      <c r="N245" s="38">
        <v>5</v>
      </c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>
        <v>45.2</v>
      </c>
      <c r="AD245" s="38" t="s">
        <v>87</v>
      </c>
      <c r="AE245" s="38" t="s">
        <v>87</v>
      </c>
      <c r="AF245" s="38" t="s">
        <v>130</v>
      </c>
      <c r="AG245" s="38" t="s">
        <v>653</v>
      </c>
      <c r="AH245" s="38">
        <v>45</v>
      </c>
      <c r="AI245" s="38">
        <v>90</v>
      </c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>
        <f>IF(AND(PCdb[[#This Row],[BCD]]&gt;UIoptions!$S$10,PCdb[[#This Row],[BCD]]&lt;UIoptions!$T$10),1,0)</f>
        <v>0</v>
      </c>
      <c r="BC245" s="38">
        <f>IF(AND(PCdb[[#This Row],[PD]]&gt;UIoptions!$S$11,PCdb[[#This Row],[PD]]&lt;UIoptions!$T$11),1,0)</f>
        <v>0</v>
      </c>
      <c r="BD245" s="38">
        <f>IF(AND(UIoptions!$P$14&lt;=PCdb[[#This Row],[PL (MAX)]],UIoptions!$P$14&gt;UIoptions!$S$14),1,0)</f>
        <v>1</v>
      </c>
      <c r="BE245" s="38">
        <f>IF(AND(PCdb[[#This Row],[SD]]&gt;UIoptions!$S$12,PCdb[[#This Row],[SD]]&lt;UIoptions!$T$12),1,0)</f>
        <v>0</v>
      </c>
      <c r="BF245" s="38">
        <f>IF(AND(PCdb[[#This Row],[SL]]&gt;UIoptions!$S$13,PCdb[[#This Row],[SL]]&lt;UIoptions!$T$13),1,0)</f>
        <v>0</v>
      </c>
      <c r="BG245" s="38">
        <f>IF(UIoptions!$N$35=1,IF(AND(PCdb[[#This Row],[SQ_SZ]]&gt;UIoptions!$S$15,PCdb[[#This Row],[SQ_SZ]]&lt;UIoptions!$T$15),1,0),1)</f>
        <v>0</v>
      </c>
      <c r="BH245" s="38">
        <f>IF(UIoptions!$N$35=2,IF(AND(PCdb[[#This Row],[ROUND_D]]&gt;UIoptions!$S$15,PCdb[[#This Row],[ROUND_D]]&lt;UIoptions!$T$15),1,0),1)</f>
        <v>1</v>
      </c>
      <c r="BI245" s="38">
        <f>IF(UIoptions!$N$75&lt;&gt;1,1,IF(AND(PCdb[[#This Row],[FL]]&gt;UIoptions!$S$16,PCdb[[#This Row],[FL]]&lt;UIoptions!$T$16),1,0))</f>
        <v>0</v>
      </c>
      <c r="BJ245" s="38" t="e">
        <f>IF(OR(UIoptions!$Q$18=PCdb[[#This Row],[THRU_SCREW]],UIoptions!$Q$18="NA"),1,0)</f>
        <v>#N/A</v>
      </c>
      <c r="BK245" s="38">
        <f>IF(OR(UIoptions!$P$19=PCdb[[#This Row],[THREAD_SZ]],UIoptions!$P$19="NA"),1,0)</f>
        <v>1</v>
      </c>
      <c r="BL245" s="38">
        <f>IF(UIoptions!$N$75=1,1,IF(AND(PCdb[[#This Row],[THREAD_L]]&gt;UIoptions!$S$17,PCdb[[#This Row],[THREAD_L]]&lt;UIoptions!$T$17),1,0))</f>
        <v>1</v>
      </c>
      <c r="BM245" s="38" t="e">
        <f>IF(SUM(PCdb[[#This Row],[BDhit]:[THREAD_Lhit]])=11,1,0)</f>
        <v>#N/A</v>
      </c>
      <c r="BN24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32252.8825NA42NANAM4104</v>
      </c>
      <c r="BO245" s="38" t="e">
        <f>SUM(PCdb[[#This Row],[BDhit]:[THREAD_Lhit]])</f>
        <v>#N/A</v>
      </c>
    </row>
    <row r="246" spans="1:67" x14ac:dyDescent="0.25">
      <c r="A246" s="7">
        <v>250</v>
      </c>
      <c r="B246" s="93">
        <v>75</v>
      </c>
      <c r="C246" s="93">
        <v>60</v>
      </c>
      <c r="D246" s="93">
        <v>4</v>
      </c>
      <c r="E246" s="93">
        <v>11</v>
      </c>
      <c r="F246" s="93">
        <v>23</v>
      </c>
      <c r="G246" s="93">
        <v>62</v>
      </c>
      <c r="H246" s="93" t="s">
        <v>87</v>
      </c>
      <c r="I246" s="93">
        <v>8</v>
      </c>
      <c r="J246" s="93" t="s">
        <v>45</v>
      </c>
      <c r="K246" s="93" t="s">
        <v>87</v>
      </c>
      <c r="L246" s="93" t="s">
        <v>87</v>
      </c>
      <c r="M246" s="93">
        <v>4</v>
      </c>
      <c r="N246" s="38" t="s">
        <v>45</v>
      </c>
      <c r="O246" s="38"/>
      <c r="P246" s="38"/>
      <c r="Q246" s="38"/>
      <c r="R246" s="38"/>
      <c r="S246" s="38"/>
      <c r="T246" s="38"/>
      <c r="U246" s="38"/>
      <c r="V246" s="25">
        <v>45.2</v>
      </c>
      <c r="W246" s="38">
        <v>25</v>
      </c>
      <c r="X246" s="38">
        <v>10.199999999999999</v>
      </c>
      <c r="Y246" s="38" t="s">
        <v>130</v>
      </c>
      <c r="Z246" s="38" t="s">
        <v>172</v>
      </c>
      <c r="AA246" s="38">
        <v>45</v>
      </c>
      <c r="AB246" s="38">
        <v>90</v>
      </c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 t="s">
        <v>87</v>
      </c>
      <c r="AW246" s="38" t="s">
        <v>87</v>
      </c>
      <c r="AX246" s="38" t="s">
        <v>180</v>
      </c>
      <c r="AY246" s="38" t="s">
        <v>176</v>
      </c>
      <c r="AZ246" s="38">
        <v>45</v>
      </c>
      <c r="BA246" s="38">
        <v>90</v>
      </c>
      <c r="BB246" s="38">
        <f>IF(AND(PCdb[[#This Row],[BCD]]&gt;UIoptions!$S$10,PCdb[[#This Row],[BCD]]&lt;UIoptions!$T$10),1,0)</f>
        <v>1</v>
      </c>
      <c r="BC246" s="38">
        <f>IF(AND(PCdb[[#This Row],[PD]]&gt;UIoptions!$S$11,PCdb[[#This Row],[PD]]&lt;UIoptions!$T$11),1,0)</f>
        <v>1</v>
      </c>
      <c r="BD246" s="38">
        <f>IF(AND(UIoptions!$P$14&lt;=PCdb[[#This Row],[PL (MAX)]],UIoptions!$P$14&gt;UIoptions!$S$14),1,0)</f>
        <v>1</v>
      </c>
      <c r="BE246" s="38">
        <f>IF(AND(PCdb[[#This Row],[SD]]&gt;UIoptions!$S$12,PCdb[[#This Row],[SD]]&lt;UIoptions!$T$12),1,0)</f>
        <v>1</v>
      </c>
      <c r="BF246" s="38">
        <f>IF(AND(PCdb[[#This Row],[SL]]&gt;UIoptions!$S$13,PCdb[[#This Row],[SL]]&lt;UIoptions!$T$13),1,0)</f>
        <v>1</v>
      </c>
      <c r="BG246" s="38">
        <f>IF(UIoptions!$N$35=1,IF(AND(PCdb[[#This Row],[SQ_SZ]]&gt;UIoptions!$S$15,PCdb[[#This Row],[SQ_SZ]]&lt;UIoptions!$T$15),1,0),1)</f>
        <v>0</v>
      </c>
      <c r="BH246" s="38">
        <f>IF(UIoptions!$N$35=2,IF(AND(PCdb[[#This Row],[ROUND_D]]&gt;UIoptions!$S$15,PCdb[[#This Row],[ROUND_D]]&lt;UIoptions!$T$15),1,0),1)</f>
        <v>1</v>
      </c>
      <c r="BI246" s="38">
        <f>IF(UIoptions!$N$75&lt;&gt;1,1,IF(AND(PCdb[[#This Row],[FL]]&gt;UIoptions!$S$16,PCdb[[#This Row],[FL]]&lt;UIoptions!$T$16),1,0))</f>
        <v>0</v>
      </c>
      <c r="BJ246" s="38" t="e">
        <f>IF(OR(UIoptions!$Q$18=PCdb[[#This Row],[THRU_SCREW]],UIoptions!$Q$18="NA"),1,0)</f>
        <v>#N/A</v>
      </c>
      <c r="BK246" s="38">
        <f>IF(OR(UIoptions!$P$19=PCdb[[#This Row],[THREAD_SZ]],UIoptions!$P$19="NA"),1,0)</f>
        <v>1</v>
      </c>
      <c r="BL246" s="38">
        <f>IF(UIoptions!$N$75=1,1,IF(AND(PCdb[[#This Row],[THREAD_L]]&gt;UIoptions!$S$17,PCdb[[#This Row],[THREAD_L]]&lt;UIoptions!$T$17),1,0))</f>
        <v>1</v>
      </c>
      <c r="BM246" s="38" t="e">
        <f>IF(SUM(PCdb[[#This Row],[BDhit]:[THREAD_Lhit]])=11,1,0)</f>
        <v>#N/A</v>
      </c>
      <c r="BN24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75604112362NA8M5NANA4</v>
      </c>
      <c r="BO246" s="38" t="e">
        <f>SUM(PCdb[[#This Row],[BDhit]:[THREAD_Lhit]])</f>
        <v>#N/A</v>
      </c>
    </row>
    <row r="247" spans="1:67" x14ac:dyDescent="0.25">
      <c r="A247" s="7">
        <v>251</v>
      </c>
      <c r="B247" s="93">
        <v>45</v>
      </c>
      <c r="C247" s="93">
        <v>30</v>
      </c>
      <c r="D247" s="93">
        <v>4</v>
      </c>
      <c r="E247" s="93">
        <v>8</v>
      </c>
      <c r="F247" s="93">
        <v>25</v>
      </c>
      <c r="G247" s="93">
        <v>40</v>
      </c>
      <c r="H247" s="93" t="s">
        <v>87</v>
      </c>
      <c r="I247" s="93">
        <v>6</v>
      </c>
      <c r="J247" s="93" t="s">
        <v>105</v>
      </c>
      <c r="K247" s="93" t="s">
        <v>87</v>
      </c>
      <c r="L247" s="93" t="s">
        <v>87</v>
      </c>
      <c r="M247" s="93">
        <v>4</v>
      </c>
      <c r="N247" s="38" t="s">
        <v>105</v>
      </c>
      <c r="O247" s="25">
        <v>38.700000000000003</v>
      </c>
      <c r="P247" s="38">
        <v>3</v>
      </c>
      <c r="Q247" s="38">
        <v>31</v>
      </c>
      <c r="R247" s="38" t="s">
        <v>130</v>
      </c>
      <c r="S247" s="38" t="s">
        <v>171</v>
      </c>
      <c r="T247" s="38">
        <v>45</v>
      </c>
      <c r="U247" s="38">
        <v>90</v>
      </c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>
        <v>18</v>
      </c>
      <c r="AK247" s="38" t="s">
        <v>87</v>
      </c>
      <c r="AL247" s="38" t="s">
        <v>130</v>
      </c>
      <c r="AM247" s="38" t="s">
        <v>176</v>
      </c>
      <c r="AN247" s="38">
        <v>45</v>
      </c>
      <c r="AO247" s="38">
        <v>90</v>
      </c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>
        <f>IF(AND(PCdb[[#This Row],[BCD]]&gt;UIoptions!$S$10,PCdb[[#This Row],[BCD]]&lt;UIoptions!$T$10),1,0)</f>
        <v>0</v>
      </c>
      <c r="BC247" s="38">
        <f>IF(AND(PCdb[[#This Row],[PD]]&gt;UIoptions!$S$11,PCdb[[#This Row],[PD]]&lt;UIoptions!$T$11),1,0)</f>
        <v>0</v>
      </c>
      <c r="BD247" s="38">
        <f>IF(AND(UIoptions!$P$14&lt;=PCdb[[#This Row],[PL (MAX)]],UIoptions!$P$14&gt;UIoptions!$S$14),1,0)</f>
        <v>1</v>
      </c>
      <c r="BE247" s="38">
        <f>IF(AND(PCdb[[#This Row],[SD]]&gt;UIoptions!$S$12,PCdb[[#This Row],[SD]]&lt;UIoptions!$T$12),1,0)</f>
        <v>0</v>
      </c>
      <c r="BF247" s="38">
        <f>IF(AND(PCdb[[#This Row],[SL]]&gt;UIoptions!$S$13,PCdb[[#This Row],[SL]]&lt;UIoptions!$T$13),1,0)</f>
        <v>0</v>
      </c>
      <c r="BG247" s="38">
        <f>IF(UIoptions!$N$35=1,IF(AND(PCdb[[#This Row],[SQ_SZ]]&gt;UIoptions!$S$15,PCdb[[#This Row],[SQ_SZ]]&lt;UIoptions!$T$15),1,0),1)</f>
        <v>0</v>
      </c>
      <c r="BH247" s="38">
        <f>IF(UIoptions!$N$35=2,IF(AND(PCdb[[#This Row],[ROUND_D]]&gt;UIoptions!$S$15,PCdb[[#This Row],[ROUND_D]]&lt;UIoptions!$T$15),1,0),1)</f>
        <v>1</v>
      </c>
      <c r="BI247" s="38">
        <f>IF(UIoptions!$N$75&lt;&gt;1,1,IF(AND(PCdb[[#This Row],[FL]]&gt;UIoptions!$S$16,PCdb[[#This Row],[FL]]&lt;UIoptions!$T$16),1,0))</f>
        <v>0</v>
      </c>
      <c r="BJ247" s="38" t="e">
        <f>IF(OR(UIoptions!$Q$18=PCdb[[#This Row],[THRU_SCREW]],UIoptions!$Q$18="NA"),1,0)</f>
        <v>#N/A</v>
      </c>
      <c r="BK247" s="38">
        <f>IF(OR(UIoptions!$P$19=PCdb[[#This Row],[THREAD_SZ]],UIoptions!$P$19="NA"),1,0)</f>
        <v>1</v>
      </c>
      <c r="BL247" s="38">
        <f>IF(UIoptions!$N$75=1,1,IF(AND(PCdb[[#This Row],[THREAD_L]]&gt;UIoptions!$S$17,PCdb[[#This Row],[THREAD_L]]&lt;UIoptions!$T$17),1,0))</f>
        <v>1</v>
      </c>
      <c r="BM247" s="38" t="e">
        <f>IF(SUM(PCdb[[#This Row],[BDhit]:[THREAD_Lhit]])=11,1,0)</f>
        <v>#N/A</v>
      </c>
      <c r="BN24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4530482540NA6M3NANA4</v>
      </c>
      <c r="BO247" s="38" t="e">
        <f>SUM(PCdb[[#This Row],[BDhit]:[THREAD_Lhit]])</f>
        <v>#N/A</v>
      </c>
    </row>
    <row r="248" spans="1:67" x14ac:dyDescent="0.25">
      <c r="A248" s="7">
        <v>252</v>
      </c>
      <c r="B248" s="93">
        <v>66.7</v>
      </c>
      <c r="C248" s="93">
        <v>38.1</v>
      </c>
      <c r="D248" s="93">
        <v>1.6</v>
      </c>
      <c r="E248" s="93">
        <v>8</v>
      </c>
      <c r="F248" s="93">
        <v>21</v>
      </c>
      <c r="G248" s="93">
        <v>57.15</v>
      </c>
      <c r="H248" s="93" t="s">
        <v>87</v>
      </c>
      <c r="I248" s="93">
        <v>5</v>
      </c>
      <c r="J248" s="93" t="s">
        <v>7</v>
      </c>
      <c r="K248" s="93" t="s">
        <v>87</v>
      </c>
      <c r="L248" s="93" t="s">
        <v>87</v>
      </c>
      <c r="M248" s="93">
        <v>4</v>
      </c>
      <c r="N248" s="38" t="s">
        <v>7</v>
      </c>
      <c r="O248" s="25">
        <v>38.700000000000003</v>
      </c>
      <c r="P248" s="38">
        <v>22</v>
      </c>
      <c r="Q248" s="38" t="s">
        <v>87</v>
      </c>
      <c r="R248" s="38" t="s">
        <v>130</v>
      </c>
      <c r="S248" s="38" t="s">
        <v>172</v>
      </c>
      <c r="T248" s="38">
        <v>45</v>
      </c>
      <c r="U248" s="38">
        <v>90</v>
      </c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>
        <f>IF(AND(PCdb[[#This Row],[BCD]]&gt;UIoptions!$S$10,PCdb[[#This Row],[BCD]]&lt;UIoptions!$T$10),1,0)</f>
        <v>0</v>
      </c>
      <c r="BC248" s="38">
        <f>IF(AND(PCdb[[#This Row],[PD]]&gt;UIoptions!$S$11,PCdb[[#This Row],[PD]]&lt;UIoptions!$T$11),1,0)</f>
        <v>0</v>
      </c>
      <c r="BD248" s="38">
        <f>IF(AND(UIoptions!$P$14&lt;=PCdb[[#This Row],[PL (MAX)]],UIoptions!$P$14&gt;UIoptions!$S$14),1,0)</f>
        <v>0</v>
      </c>
      <c r="BE248" s="38">
        <f>IF(AND(PCdb[[#This Row],[SD]]&gt;UIoptions!$S$12,PCdb[[#This Row],[SD]]&lt;UIoptions!$T$12),1,0)</f>
        <v>0</v>
      </c>
      <c r="BF248" s="38">
        <f>IF(AND(PCdb[[#This Row],[SL]]&gt;UIoptions!$S$13,PCdb[[#This Row],[SL]]&lt;UIoptions!$T$13),1,0)</f>
        <v>0</v>
      </c>
      <c r="BG248" s="38">
        <f>IF(UIoptions!$N$35=1,IF(AND(PCdb[[#This Row],[SQ_SZ]]&gt;UIoptions!$S$15,PCdb[[#This Row],[SQ_SZ]]&lt;UIoptions!$T$15),1,0),1)</f>
        <v>0</v>
      </c>
      <c r="BH248" s="38">
        <f>IF(UIoptions!$N$35=2,IF(AND(PCdb[[#This Row],[ROUND_D]]&gt;UIoptions!$S$15,PCdb[[#This Row],[ROUND_D]]&lt;UIoptions!$T$15),1,0),1)</f>
        <v>1</v>
      </c>
      <c r="BI248" s="38">
        <f>IF(UIoptions!$N$75&lt;&gt;1,1,IF(AND(PCdb[[#This Row],[FL]]&gt;UIoptions!$S$16,PCdb[[#This Row],[FL]]&lt;UIoptions!$T$16),1,0))</f>
        <v>0</v>
      </c>
      <c r="BJ248" s="38" t="e">
        <f>IF(OR(UIoptions!$Q$18=PCdb[[#This Row],[THRU_SCREW]],UIoptions!$Q$18="NA"),1,0)</f>
        <v>#N/A</v>
      </c>
      <c r="BK248" s="38">
        <f>IF(OR(UIoptions!$P$19=PCdb[[#This Row],[THREAD_SZ]],UIoptions!$P$19="NA"),1,0)</f>
        <v>1</v>
      </c>
      <c r="BL248" s="38">
        <f>IF(UIoptions!$N$75=1,1,IF(AND(PCdb[[#This Row],[THREAD_L]]&gt;UIoptions!$S$17,PCdb[[#This Row],[THREAD_L]]&lt;UIoptions!$T$17),1,0))</f>
        <v>1</v>
      </c>
      <c r="BM248" s="38" t="e">
        <f>IF(SUM(PCdb[[#This Row],[BDhit]:[THREAD_Lhit]])=11,1,0)</f>
        <v>#N/A</v>
      </c>
      <c r="BN24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66.738.11.682157.15NA5M4NANA4</v>
      </c>
      <c r="BO248" s="38" t="e">
        <f>SUM(PCdb[[#This Row],[BDhit]:[THREAD_Lhit]])</f>
        <v>#N/A</v>
      </c>
    </row>
    <row r="249" spans="1:67" x14ac:dyDescent="0.25">
      <c r="A249" s="7">
        <v>253</v>
      </c>
      <c r="B249" s="93">
        <v>100</v>
      </c>
      <c r="C249" s="93">
        <v>80</v>
      </c>
      <c r="D249" s="93">
        <v>4</v>
      </c>
      <c r="E249" s="93">
        <v>16</v>
      </c>
      <c r="F249" s="93">
        <v>31</v>
      </c>
      <c r="G249" s="93">
        <v>90</v>
      </c>
      <c r="H249" s="93" t="s">
        <v>87</v>
      </c>
      <c r="I249" s="93">
        <v>8</v>
      </c>
      <c r="J249" s="93" t="s">
        <v>49</v>
      </c>
      <c r="K249" s="93" t="s">
        <v>87</v>
      </c>
      <c r="L249" s="93" t="s">
        <v>87</v>
      </c>
      <c r="M249" s="93">
        <v>4</v>
      </c>
      <c r="N249" s="38" t="s">
        <v>49</v>
      </c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25">
        <v>45.2</v>
      </c>
      <c r="AD249" s="38">
        <v>42</v>
      </c>
      <c r="AE249" s="38" t="s">
        <v>87</v>
      </c>
      <c r="AF249" s="38" t="s">
        <v>130</v>
      </c>
      <c r="AG249" s="38" t="s">
        <v>172</v>
      </c>
      <c r="AH249" s="38">
        <v>45</v>
      </c>
      <c r="AI249" s="38">
        <v>90</v>
      </c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>
        <f>IF(AND(PCdb[[#This Row],[BCD]]&gt;UIoptions!$S$10,PCdb[[#This Row],[BCD]]&lt;UIoptions!$T$10),1,0)</f>
        <v>0</v>
      </c>
      <c r="BC249" s="38">
        <f>IF(AND(PCdb[[#This Row],[PD]]&gt;UIoptions!$S$11,PCdb[[#This Row],[PD]]&lt;UIoptions!$T$11),1,0)</f>
        <v>0</v>
      </c>
      <c r="BD249" s="38">
        <f>IF(AND(UIoptions!$P$14&lt;=PCdb[[#This Row],[PL (MAX)]],UIoptions!$P$14&gt;UIoptions!$S$14),1,0)</f>
        <v>1</v>
      </c>
      <c r="BE249" s="38">
        <f>IF(AND(PCdb[[#This Row],[SD]]&gt;UIoptions!$S$12,PCdb[[#This Row],[SD]]&lt;UIoptions!$T$12),1,0)</f>
        <v>0</v>
      </c>
      <c r="BF249" s="38">
        <f>IF(AND(PCdb[[#This Row],[SL]]&gt;UIoptions!$S$13,PCdb[[#This Row],[SL]]&lt;UIoptions!$T$13),1,0)</f>
        <v>0</v>
      </c>
      <c r="BG249" s="38">
        <f>IF(UIoptions!$N$35=1,IF(AND(PCdb[[#This Row],[SQ_SZ]]&gt;UIoptions!$S$15,PCdb[[#This Row],[SQ_SZ]]&lt;UIoptions!$T$15),1,0),1)</f>
        <v>0</v>
      </c>
      <c r="BH249" s="38">
        <f>IF(UIoptions!$N$35=2,IF(AND(PCdb[[#This Row],[ROUND_D]]&gt;UIoptions!$S$15,PCdb[[#This Row],[ROUND_D]]&lt;UIoptions!$T$15),1,0),1)</f>
        <v>1</v>
      </c>
      <c r="BI249" s="38">
        <f>IF(UIoptions!$N$75&lt;&gt;1,1,IF(AND(PCdb[[#This Row],[FL]]&gt;UIoptions!$S$16,PCdb[[#This Row],[FL]]&lt;UIoptions!$T$16),1,0))</f>
        <v>0</v>
      </c>
      <c r="BJ249" s="38" t="e">
        <f>IF(OR(UIoptions!$Q$18=PCdb[[#This Row],[THRU_SCREW]],UIoptions!$Q$18="NA"),1,0)</f>
        <v>#N/A</v>
      </c>
      <c r="BK249" s="38">
        <f>IF(OR(UIoptions!$P$19=PCdb[[#This Row],[THREAD_SZ]],UIoptions!$P$19="NA"),1,0)</f>
        <v>1</v>
      </c>
      <c r="BL249" s="38">
        <f>IF(UIoptions!$N$75=1,1,IF(AND(PCdb[[#This Row],[THREAD_L]]&gt;UIoptions!$S$17,PCdb[[#This Row],[THREAD_L]]&lt;UIoptions!$T$17),1,0))</f>
        <v>1</v>
      </c>
      <c r="BM249" s="38" t="e">
        <f>IF(SUM(PCdb[[#This Row],[BDhit]:[THREAD_Lhit]])=11,1,0)</f>
        <v>#N/A</v>
      </c>
      <c r="BN24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100804163190NA8M6NANA4</v>
      </c>
      <c r="BO249" s="38" t="e">
        <f>SUM(PCdb[[#This Row],[BDhit]:[THREAD_Lhit]])</f>
        <v>#N/A</v>
      </c>
    </row>
    <row r="250" spans="1:67" x14ac:dyDescent="0.25">
      <c r="A250" s="7">
        <v>254</v>
      </c>
      <c r="B250" s="93">
        <v>98.4</v>
      </c>
      <c r="C250" s="93">
        <v>73</v>
      </c>
      <c r="D250" s="93">
        <v>4</v>
      </c>
      <c r="E250" s="93">
        <v>12</v>
      </c>
      <c r="F250" s="93">
        <v>32</v>
      </c>
      <c r="G250" s="93">
        <v>82.6</v>
      </c>
      <c r="H250" s="93" t="s">
        <v>87</v>
      </c>
      <c r="I250" s="93">
        <v>10</v>
      </c>
      <c r="J250" s="93" t="s">
        <v>45</v>
      </c>
      <c r="K250" s="93" t="s">
        <v>87</v>
      </c>
      <c r="L250" s="93" t="s">
        <v>87</v>
      </c>
      <c r="M250" s="93">
        <v>4</v>
      </c>
      <c r="N250" s="38" t="s">
        <v>45</v>
      </c>
      <c r="O250" s="38"/>
      <c r="P250" s="38"/>
      <c r="Q250" s="38"/>
      <c r="R250" s="38"/>
      <c r="S250" s="38"/>
      <c r="T250" s="38"/>
      <c r="U250" s="38"/>
      <c r="V250" s="25">
        <v>41.7</v>
      </c>
      <c r="W250" s="38">
        <v>37.5</v>
      </c>
      <c r="X250" s="38" t="s">
        <v>87</v>
      </c>
      <c r="Y250" s="38" t="s">
        <v>130</v>
      </c>
      <c r="Z250" s="38" t="s">
        <v>172</v>
      </c>
      <c r="AA250" s="38">
        <v>45</v>
      </c>
      <c r="AB250" s="38">
        <v>90</v>
      </c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>
        <f>IF(AND(PCdb[[#This Row],[BCD]]&gt;UIoptions!$S$10,PCdb[[#This Row],[BCD]]&lt;UIoptions!$T$10),1,0)</f>
        <v>0</v>
      </c>
      <c r="BC250" s="38">
        <f>IF(AND(PCdb[[#This Row],[PD]]&gt;UIoptions!$S$11,PCdb[[#This Row],[PD]]&lt;UIoptions!$T$11),1,0)</f>
        <v>0</v>
      </c>
      <c r="BD250" s="38">
        <f>IF(AND(UIoptions!$P$14&lt;=PCdb[[#This Row],[PL (MAX)]],UIoptions!$P$14&gt;UIoptions!$S$14),1,0)</f>
        <v>1</v>
      </c>
      <c r="BE250" s="38">
        <f>IF(AND(PCdb[[#This Row],[SD]]&gt;UIoptions!$S$12,PCdb[[#This Row],[SD]]&lt;UIoptions!$T$12),1,0)</f>
        <v>0</v>
      </c>
      <c r="BF250" s="38">
        <f>IF(AND(PCdb[[#This Row],[SL]]&gt;UIoptions!$S$13,PCdb[[#This Row],[SL]]&lt;UIoptions!$T$13),1,0)</f>
        <v>0</v>
      </c>
      <c r="BG250" s="38">
        <f>IF(UIoptions!$N$35=1,IF(AND(PCdb[[#This Row],[SQ_SZ]]&gt;UIoptions!$S$15,PCdb[[#This Row],[SQ_SZ]]&lt;UIoptions!$T$15),1,0),1)</f>
        <v>0</v>
      </c>
      <c r="BH250" s="38">
        <f>IF(UIoptions!$N$35=2,IF(AND(PCdb[[#This Row],[ROUND_D]]&gt;UIoptions!$S$15,PCdb[[#This Row],[ROUND_D]]&lt;UIoptions!$T$15),1,0),1)</f>
        <v>1</v>
      </c>
      <c r="BI250" s="38">
        <f>IF(UIoptions!$N$75&lt;&gt;1,1,IF(AND(PCdb[[#This Row],[FL]]&gt;UIoptions!$S$16,PCdb[[#This Row],[FL]]&lt;UIoptions!$T$16),1,0))</f>
        <v>0</v>
      </c>
      <c r="BJ250" s="38" t="e">
        <f>IF(OR(UIoptions!$Q$18=PCdb[[#This Row],[THRU_SCREW]],UIoptions!$Q$18="NA"),1,0)</f>
        <v>#N/A</v>
      </c>
      <c r="BK250" s="38">
        <f>IF(OR(UIoptions!$P$19=PCdb[[#This Row],[THREAD_SZ]],UIoptions!$P$19="NA"),1,0)</f>
        <v>1</v>
      </c>
      <c r="BL250" s="38">
        <f>IF(UIoptions!$N$75=1,1,IF(AND(PCdb[[#This Row],[THREAD_L]]&gt;UIoptions!$S$17,PCdb[[#This Row],[THREAD_L]]&lt;UIoptions!$T$17),1,0))</f>
        <v>1</v>
      </c>
      <c r="BM250" s="38" t="e">
        <f>IF(SUM(PCdb[[#This Row],[BDhit]:[THREAD_Lhit]])=11,1,0)</f>
        <v>#N/A</v>
      </c>
      <c r="BN25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98.4734123282.6NA10M5NANA4</v>
      </c>
      <c r="BO250" s="38" t="e">
        <f>SUM(PCdb[[#This Row],[BDhit]:[THREAD_Lhit]])</f>
        <v>#N/A</v>
      </c>
    </row>
    <row r="251" spans="1:67" x14ac:dyDescent="0.25">
      <c r="A251" s="7">
        <v>256</v>
      </c>
      <c r="B251" s="93">
        <v>98.4</v>
      </c>
      <c r="C251" s="93">
        <v>73</v>
      </c>
      <c r="D251" s="93">
        <v>4</v>
      </c>
      <c r="E251" s="93">
        <v>14</v>
      </c>
      <c r="F251" s="93">
        <v>31.8</v>
      </c>
      <c r="G251" s="93">
        <v>85.9</v>
      </c>
      <c r="H251" s="93" t="s">
        <v>87</v>
      </c>
      <c r="I251" s="93">
        <v>10</v>
      </c>
      <c r="J251" s="93" t="s">
        <v>49</v>
      </c>
      <c r="K251" s="93" t="s">
        <v>87</v>
      </c>
      <c r="L251" s="93" t="s">
        <v>87</v>
      </c>
      <c r="M251" s="93">
        <v>4</v>
      </c>
      <c r="N251" s="38" t="s">
        <v>49</v>
      </c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>
        <v>39</v>
      </c>
      <c r="AW251" s="38" t="s">
        <v>87</v>
      </c>
      <c r="AX251" s="38" t="s">
        <v>130</v>
      </c>
      <c r="AY251" s="38" t="s">
        <v>177</v>
      </c>
      <c r="AZ251" s="38">
        <v>45</v>
      </c>
      <c r="BA251" s="38">
        <v>90</v>
      </c>
      <c r="BB251" s="38">
        <f>IF(AND(PCdb[[#This Row],[BCD]]&gt;UIoptions!$S$10,PCdb[[#This Row],[BCD]]&lt;UIoptions!$T$10),1,0)</f>
        <v>0</v>
      </c>
      <c r="BC251" s="38">
        <f>IF(AND(PCdb[[#This Row],[PD]]&gt;UIoptions!$S$11,PCdb[[#This Row],[PD]]&lt;UIoptions!$T$11),1,0)</f>
        <v>0</v>
      </c>
      <c r="BD251" s="38">
        <f>IF(AND(UIoptions!$P$14&lt;=PCdb[[#This Row],[PL (MAX)]],UIoptions!$P$14&gt;UIoptions!$S$14),1,0)</f>
        <v>1</v>
      </c>
      <c r="BE251" s="38">
        <f>IF(AND(PCdb[[#This Row],[SD]]&gt;UIoptions!$S$12,PCdb[[#This Row],[SD]]&lt;UIoptions!$T$12),1,0)</f>
        <v>0</v>
      </c>
      <c r="BF251" s="38">
        <f>IF(AND(PCdb[[#This Row],[SL]]&gt;UIoptions!$S$13,PCdb[[#This Row],[SL]]&lt;UIoptions!$T$13),1,0)</f>
        <v>0</v>
      </c>
      <c r="BG251" s="38">
        <f>IF(UIoptions!$N$35=1,IF(AND(PCdb[[#This Row],[SQ_SZ]]&gt;UIoptions!$S$15,PCdb[[#This Row],[SQ_SZ]]&lt;UIoptions!$T$15),1,0),1)</f>
        <v>0</v>
      </c>
      <c r="BH251" s="38">
        <f>IF(UIoptions!$N$35=2,IF(AND(PCdb[[#This Row],[ROUND_D]]&gt;UIoptions!$S$15,PCdb[[#This Row],[ROUND_D]]&lt;UIoptions!$T$15),1,0),1)</f>
        <v>1</v>
      </c>
      <c r="BI251" s="38">
        <f>IF(UIoptions!$N$75&lt;&gt;1,1,IF(AND(PCdb[[#This Row],[FL]]&gt;UIoptions!$S$16,PCdb[[#This Row],[FL]]&lt;UIoptions!$T$16),1,0))</f>
        <v>0</v>
      </c>
      <c r="BJ251" s="38" t="e">
        <f>IF(OR(UIoptions!$Q$18=PCdb[[#This Row],[THRU_SCREW]],UIoptions!$Q$18="NA"),1,0)</f>
        <v>#N/A</v>
      </c>
      <c r="BK251" s="38">
        <f>IF(OR(UIoptions!$P$19=PCdb[[#This Row],[THREAD_SZ]],UIoptions!$P$19="NA"),1,0)</f>
        <v>1</v>
      </c>
      <c r="BL251" s="38">
        <f>IF(UIoptions!$N$75=1,1,IF(AND(PCdb[[#This Row],[THREAD_L]]&gt;UIoptions!$S$17,PCdb[[#This Row],[THREAD_L]]&lt;UIoptions!$T$17),1,0))</f>
        <v>1</v>
      </c>
      <c r="BM251" s="38" t="e">
        <f>IF(SUM(PCdb[[#This Row],[BDhit]:[THREAD_Lhit]])=11,1,0)</f>
        <v>#N/A</v>
      </c>
      <c r="BN25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98.47341431.885.9NA10M6NANA4</v>
      </c>
      <c r="BO251" s="38" t="e">
        <f>SUM(PCdb[[#This Row],[BDhit]:[THREAD_Lhit]])</f>
        <v>#N/A</v>
      </c>
    </row>
    <row r="252" spans="1:67" x14ac:dyDescent="0.25">
      <c r="A252" s="7">
        <v>257</v>
      </c>
      <c r="B252" s="93">
        <v>66.8</v>
      </c>
      <c r="C252" s="93">
        <v>38.1</v>
      </c>
      <c r="D252" s="93">
        <v>4</v>
      </c>
      <c r="E252" s="93">
        <v>6.4</v>
      </c>
      <c r="F252" s="93">
        <v>20.6</v>
      </c>
      <c r="G252" s="93">
        <v>57.2</v>
      </c>
      <c r="H252" s="93" t="s">
        <v>87</v>
      </c>
      <c r="I252" s="93">
        <v>5.0999999999999996</v>
      </c>
      <c r="J252" s="93" t="s">
        <v>7</v>
      </c>
      <c r="K252" s="93" t="s">
        <v>87</v>
      </c>
      <c r="L252" s="93" t="s">
        <v>87</v>
      </c>
      <c r="M252" s="93">
        <v>4</v>
      </c>
      <c r="N252" s="38" t="s">
        <v>7</v>
      </c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>
        <v>22</v>
      </c>
      <c r="AK252" s="38" t="s">
        <v>87</v>
      </c>
      <c r="AL252" s="38" t="s">
        <v>130</v>
      </c>
      <c r="AM252" s="38" t="s">
        <v>177</v>
      </c>
      <c r="AN252" s="38">
        <v>45</v>
      </c>
      <c r="AO252" s="38">
        <v>90</v>
      </c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>
        <f>IF(AND(PCdb[[#This Row],[BCD]]&gt;UIoptions!$S$10,PCdb[[#This Row],[BCD]]&lt;UIoptions!$T$10),1,0)</f>
        <v>0</v>
      </c>
      <c r="BC252" s="38">
        <f>IF(AND(PCdb[[#This Row],[PD]]&gt;UIoptions!$S$11,PCdb[[#This Row],[PD]]&lt;UIoptions!$T$11),1,0)</f>
        <v>0</v>
      </c>
      <c r="BD252" s="38">
        <f>IF(AND(UIoptions!$P$14&lt;=PCdb[[#This Row],[PL (MAX)]],UIoptions!$P$14&gt;UIoptions!$S$14),1,0)</f>
        <v>1</v>
      </c>
      <c r="BE252" s="38">
        <f>IF(AND(PCdb[[#This Row],[SD]]&gt;UIoptions!$S$12,PCdb[[#This Row],[SD]]&lt;UIoptions!$T$12),1,0)</f>
        <v>0</v>
      </c>
      <c r="BF252" s="38">
        <f>IF(AND(PCdb[[#This Row],[SL]]&gt;UIoptions!$S$13,PCdb[[#This Row],[SL]]&lt;UIoptions!$T$13),1,0)</f>
        <v>0</v>
      </c>
      <c r="BG252" s="38">
        <f>IF(UIoptions!$N$35=1,IF(AND(PCdb[[#This Row],[SQ_SZ]]&gt;UIoptions!$S$15,PCdb[[#This Row],[SQ_SZ]]&lt;UIoptions!$T$15),1,0),1)</f>
        <v>0</v>
      </c>
      <c r="BH252" s="38">
        <f>IF(UIoptions!$N$35=2,IF(AND(PCdb[[#This Row],[ROUND_D]]&gt;UIoptions!$S$15,PCdb[[#This Row],[ROUND_D]]&lt;UIoptions!$T$15),1,0),1)</f>
        <v>1</v>
      </c>
      <c r="BI252" s="38">
        <f>IF(UIoptions!$N$75&lt;&gt;1,1,IF(AND(PCdb[[#This Row],[FL]]&gt;UIoptions!$S$16,PCdb[[#This Row],[FL]]&lt;UIoptions!$T$16),1,0))</f>
        <v>0</v>
      </c>
      <c r="BJ252" s="38" t="e">
        <f>IF(OR(UIoptions!$Q$18=PCdb[[#This Row],[THRU_SCREW]],UIoptions!$Q$18="NA"),1,0)</f>
        <v>#N/A</v>
      </c>
      <c r="BK252" s="38">
        <f>IF(OR(UIoptions!$P$19=PCdb[[#This Row],[THREAD_SZ]],UIoptions!$P$19="NA"),1,0)</f>
        <v>1</v>
      </c>
      <c r="BL252" s="38">
        <f>IF(UIoptions!$N$75=1,1,IF(AND(PCdb[[#This Row],[THREAD_L]]&gt;UIoptions!$S$17,PCdb[[#This Row],[THREAD_L]]&lt;UIoptions!$T$17),1,0))</f>
        <v>1</v>
      </c>
      <c r="BM252" s="38" t="e">
        <f>IF(SUM(PCdb[[#This Row],[BDhit]:[THREAD_Lhit]])=11,1,0)</f>
        <v>#N/A</v>
      </c>
      <c r="BN25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66.838.146.420.657.2NA5.1M4NANA4</v>
      </c>
      <c r="BO252" s="38" t="e">
        <f>SUM(PCdb[[#This Row],[BDhit]:[THREAD_Lhit]])</f>
        <v>#N/A</v>
      </c>
    </row>
    <row r="253" spans="1:67" x14ac:dyDescent="0.25">
      <c r="A253" s="7">
        <v>258</v>
      </c>
      <c r="B253" s="93">
        <v>70</v>
      </c>
      <c r="C253" s="93">
        <v>54</v>
      </c>
      <c r="D253" s="93">
        <v>4</v>
      </c>
      <c r="E253" s="93">
        <v>10</v>
      </c>
      <c r="F253" s="93">
        <v>20</v>
      </c>
      <c r="G253" s="93">
        <v>60</v>
      </c>
      <c r="H253" s="93" t="s">
        <v>87</v>
      </c>
      <c r="I253" s="93">
        <v>6</v>
      </c>
      <c r="J253" s="93" t="s">
        <v>45</v>
      </c>
      <c r="K253" s="93" t="s">
        <v>87</v>
      </c>
      <c r="L253" s="93" t="s">
        <v>87</v>
      </c>
      <c r="M253" s="93">
        <v>4</v>
      </c>
      <c r="N253" s="38" t="s">
        <v>45</v>
      </c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>
        <v>28.2</v>
      </c>
      <c r="AQ253" s="38" t="s">
        <v>87</v>
      </c>
      <c r="AR253" s="38" t="s">
        <v>130</v>
      </c>
      <c r="AS253" s="38" t="s">
        <v>176</v>
      </c>
      <c r="AT253" s="38">
        <v>45</v>
      </c>
      <c r="AU253" s="38">
        <v>90</v>
      </c>
      <c r="AV253" s="38"/>
      <c r="AW253" s="38"/>
      <c r="AX253" s="38"/>
      <c r="AY253" s="38"/>
      <c r="AZ253" s="38"/>
      <c r="BA253" s="38"/>
      <c r="BB253" s="38">
        <f>IF(AND(PCdb[[#This Row],[BCD]]&gt;UIoptions!$S$10,PCdb[[#This Row],[BCD]]&lt;UIoptions!$T$10),1,0)</f>
        <v>0</v>
      </c>
      <c r="BC253" s="38">
        <f>IF(AND(PCdb[[#This Row],[PD]]&gt;UIoptions!$S$11,PCdb[[#This Row],[PD]]&lt;UIoptions!$T$11),1,0)</f>
        <v>0</v>
      </c>
      <c r="BD253" s="38">
        <f>IF(AND(UIoptions!$P$14&lt;=PCdb[[#This Row],[PL (MAX)]],UIoptions!$P$14&gt;UIoptions!$S$14),1,0)</f>
        <v>1</v>
      </c>
      <c r="BE253" s="38">
        <f>IF(AND(PCdb[[#This Row],[SD]]&gt;UIoptions!$S$12,PCdb[[#This Row],[SD]]&lt;UIoptions!$T$12),1,0)</f>
        <v>0</v>
      </c>
      <c r="BF253" s="38">
        <f>IF(AND(PCdb[[#This Row],[SL]]&gt;UIoptions!$S$13,PCdb[[#This Row],[SL]]&lt;UIoptions!$T$13),1,0)</f>
        <v>0</v>
      </c>
      <c r="BG253" s="38">
        <f>IF(UIoptions!$N$35=1,IF(AND(PCdb[[#This Row],[SQ_SZ]]&gt;UIoptions!$S$15,PCdb[[#This Row],[SQ_SZ]]&lt;UIoptions!$T$15),1,0),1)</f>
        <v>0</v>
      </c>
      <c r="BH253" s="38">
        <f>IF(UIoptions!$N$35=2,IF(AND(PCdb[[#This Row],[ROUND_D]]&gt;UIoptions!$S$15,PCdb[[#This Row],[ROUND_D]]&lt;UIoptions!$T$15),1,0),1)</f>
        <v>1</v>
      </c>
      <c r="BI253" s="38">
        <f>IF(UIoptions!$N$75&lt;&gt;1,1,IF(AND(PCdb[[#This Row],[FL]]&gt;UIoptions!$S$16,PCdb[[#This Row],[FL]]&lt;UIoptions!$T$16),1,0))</f>
        <v>0</v>
      </c>
      <c r="BJ253" s="38" t="e">
        <f>IF(OR(UIoptions!$Q$18=PCdb[[#This Row],[THRU_SCREW]],UIoptions!$Q$18="NA"),1,0)</f>
        <v>#N/A</v>
      </c>
      <c r="BK253" s="38">
        <f>IF(OR(UIoptions!$P$19=PCdb[[#This Row],[THREAD_SZ]],UIoptions!$P$19="NA"),1,0)</f>
        <v>1</v>
      </c>
      <c r="BL253" s="38">
        <f>IF(UIoptions!$N$75=1,1,IF(AND(PCdb[[#This Row],[THREAD_L]]&gt;UIoptions!$S$17,PCdb[[#This Row],[THREAD_L]]&lt;UIoptions!$T$17),1,0))</f>
        <v>1</v>
      </c>
      <c r="BM253" s="38" t="e">
        <f>IF(SUM(PCdb[[#This Row],[BDhit]:[THREAD_Lhit]])=11,1,0)</f>
        <v>#N/A</v>
      </c>
      <c r="BN25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70544102060NA6M5NANA4</v>
      </c>
      <c r="BO253" s="38" t="e">
        <f>SUM(PCdb[[#This Row],[BDhit]:[THREAD_Lhit]])</f>
        <v>#N/A</v>
      </c>
    </row>
    <row r="254" spans="1:67" x14ac:dyDescent="0.25">
      <c r="A254" s="7">
        <v>259</v>
      </c>
      <c r="B254" s="93">
        <v>63</v>
      </c>
      <c r="C254" s="93">
        <v>50</v>
      </c>
      <c r="D254" s="93">
        <v>4</v>
      </c>
      <c r="E254" s="93">
        <v>12</v>
      </c>
      <c r="F254" s="93">
        <v>27</v>
      </c>
      <c r="G254" s="93">
        <v>55</v>
      </c>
      <c r="H254" s="93" t="s">
        <v>87</v>
      </c>
      <c r="I254" s="93">
        <v>15</v>
      </c>
      <c r="J254" s="93" t="s">
        <v>45</v>
      </c>
      <c r="K254" s="93" t="s">
        <v>87</v>
      </c>
      <c r="L254" s="93" t="s">
        <v>87</v>
      </c>
      <c r="M254" s="93">
        <v>4</v>
      </c>
      <c r="N254" s="38" t="s">
        <v>45</v>
      </c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>
        <v>26</v>
      </c>
      <c r="AQ254" s="38" t="s">
        <v>87</v>
      </c>
      <c r="AR254" s="38" t="s">
        <v>130</v>
      </c>
      <c r="AS254" s="38" t="s">
        <v>176</v>
      </c>
      <c r="AT254" s="38">
        <v>45</v>
      </c>
      <c r="AU254" s="38">
        <v>90</v>
      </c>
      <c r="AV254" s="38"/>
      <c r="AW254" s="38"/>
      <c r="AX254" s="38"/>
      <c r="AY254" s="38"/>
      <c r="AZ254" s="38"/>
      <c r="BA254" s="38"/>
      <c r="BB254" s="38">
        <f>IF(AND(PCdb[[#This Row],[BCD]]&gt;UIoptions!$S$10,PCdb[[#This Row],[BCD]]&lt;UIoptions!$T$10),1,0)</f>
        <v>0</v>
      </c>
      <c r="BC254" s="38">
        <f>IF(AND(PCdb[[#This Row],[PD]]&gt;UIoptions!$S$11,PCdb[[#This Row],[PD]]&lt;UIoptions!$T$11),1,0)</f>
        <v>0</v>
      </c>
      <c r="BD254" s="38">
        <f>IF(AND(UIoptions!$P$14&lt;=PCdb[[#This Row],[PL (MAX)]],UIoptions!$P$14&gt;UIoptions!$S$14),1,0)</f>
        <v>1</v>
      </c>
      <c r="BE254" s="38">
        <f>IF(AND(PCdb[[#This Row],[SD]]&gt;UIoptions!$S$12,PCdb[[#This Row],[SD]]&lt;UIoptions!$T$12),1,0)</f>
        <v>0</v>
      </c>
      <c r="BF254" s="38">
        <f>IF(AND(PCdb[[#This Row],[SL]]&gt;UIoptions!$S$13,PCdb[[#This Row],[SL]]&lt;UIoptions!$T$13),1,0)</f>
        <v>0</v>
      </c>
      <c r="BG254" s="38">
        <f>IF(UIoptions!$N$35=1,IF(AND(PCdb[[#This Row],[SQ_SZ]]&gt;UIoptions!$S$15,PCdb[[#This Row],[SQ_SZ]]&lt;UIoptions!$T$15),1,0),1)</f>
        <v>0</v>
      </c>
      <c r="BH254" s="38">
        <f>IF(UIoptions!$N$35=2,IF(AND(PCdb[[#This Row],[ROUND_D]]&gt;UIoptions!$S$15,PCdb[[#This Row],[ROUND_D]]&lt;UIoptions!$T$15),1,0),1)</f>
        <v>1</v>
      </c>
      <c r="BI254" s="38">
        <f>IF(UIoptions!$N$75&lt;&gt;1,1,IF(AND(PCdb[[#This Row],[FL]]&gt;UIoptions!$S$16,PCdb[[#This Row],[FL]]&lt;UIoptions!$T$16),1,0))</f>
        <v>0</v>
      </c>
      <c r="BJ254" s="38" t="e">
        <f>IF(OR(UIoptions!$Q$18=PCdb[[#This Row],[THRU_SCREW]],UIoptions!$Q$18="NA"),1,0)</f>
        <v>#N/A</v>
      </c>
      <c r="BK254" s="38">
        <f>IF(OR(UIoptions!$P$19=PCdb[[#This Row],[THREAD_SZ]],UIoptions!$P$19="NA"),1,0)</f>
        <v>1</v>
      </c>
      <c r="BL254" s="38">
        <f>IF(UIoptions!$N$75=1,1,IF(AND(PCdb[[#This Row],[THREAD_L]]&gt;UIoptions!$S$17,PCdb[[#This Row],[THREAD_L]]&lt;UIoptions!$T$17),1,0))</f>
        <v>1</v>
      </c>
      <c r="BM254" s="38" t="e">
        <f>IF(SUM(PCdb[[#This Row],[BDhit]:[THREAD_Lhit]])=11,1,0)</f>
        <v>#N/A</v>
      </c>
      <c r="BN25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63504122755NA15M5NANA4</v>
      </c>
      <c r="BO254" s="38" t="e">
        <f>SUM(PCdb[[#This Row],[BDhit]:[THREAD_Lhit]])</f>
        <v>#N/A</v>
      </c>
    </row>
    <row r="255" spans="1:67" x14ac:dyDescent="0.25">
      <c r="A255" s="7">
        <v>260</v>
      </c>
      <c r="B255" s="93">
        <v>66.7</v>
      </c>
      <c r="C255" s="93">
        <v>38.1</v>
      </c>
      <c r="D255" s="93">
        <v>4</v>
      </c>
      <c r="E255" s="93">
        <v>6.35</v>
      </c>
      <c r="F255" s="93">
        <v>20.6</v>
      </c>
      <c r="G255" s="93">
        <v>56.4</v>
      </c>
      <c r="H255" s="93" t="s">
        <v>87</v>
      </c>
      <c r="I255" s="93">
        <v>6.7</v>
      </c>
      <c r="J255" s="93" t="s">
        <v>7</v>
      </c>
      <c r="K255" s="93" t="s">
        <v>87</v>
      </c>
      <c r="L255" s="93" t="s">
        <v>87</v>
      </c>
      <c r="M255" s="93">
        <v>4</v>
      </c>
      <c r="N255" s="38" t="s">
        <v>7</v>
      </c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>
        <v>22</v>
      </c>
      <c r="AK255" s="38" t="s">
        <v>87</v>
      </c>
      <c r="AL255" s="38" t="s">
        <v>130</v>
      </c>
      <c r="AM255" s="38" t="s">
        <v>177</v>
      </c>
      <c r="AN255" s="38">
        <v>45</v>
      </c>
      <c r="AO255" s="38">
        <v>90</v>
      </c>
      <c r="AP255" s="38">
        <v>26</v>
      </c>
      <c r="AQ255" s="38" t="s">
        <v>87</v>
      </c>
      <c r="AR255" s="38" t="s">
        <v>130</v>
      </c>
      <c r="AS255" s="38" t="s">
        <v>176</v>
      </c>
      <c r="AT255" s="38">
        <v>45</v>
      </c>
      <c r="AU255" s="38">
        <v>90</v>
      </c>
      <c r="AV255" s="38"/>
      <c r="AW255" s="38"/>
      <c r="AX255" s="38"/>
      <c r="AY255" s="38"/>
      <c r="AZ255" s="38"/>
      <c r="BA255" s="38"/>
      <c r="BB255" s="38">
        <f>IF(AND(PCdb[[#This Row],[BCD]]&gt;UIoptions!$S$10,PCdb[[#This Row],[BCD]]&lt;UIoptions!$T$10),1,0)</f>
        <v>0</v>
      </c>
      <c r="BC255" s="38">
        <f>IF(AND(PCdb[[#This Row],[PD]]&gt;UIoptions!$S$11,PCdb[[#This Row],[PD]]&lt;UIoptions!$T$11),1,0)</f>
        <v>0</v>
      </c>
      <c r="BD255" s="38">
        <f>IF(AND(UIoptions!$P$14&lt;=PCdb[[#This Row],[PL (MAX)]],UIoptions!$P$14&gt;UIoptions!$S$14),1,0)</f>
        <v>1</v>
      </c>
      <c r="BE255" s="38">
        <f>IF(AND(PCdb[[#This Row],[SD]]&gt;UIoptions!$S$12,PCdb[[#This Row],[SD]]&lt;UIoptions!$T$12),1,0)</f>
        <v>0</v>
      </c>
      <c r="BF255" s="38">
        <f>IF(AND(PCdb[[#This Row],[SL]]&gt;UIoptions!$S$13,PCdb[[#This Row],[SL]]&lt;UIoptions!$T$13),1,0)</f>
        <v>0</v>
      </c>
      <c r="BG255" s="38">
        <f>IF(UIoptions!$N$35=1,IF(AND(PCdb[[#This Row],[SQ_SZ]]&gt;UIoptions!$S$15,PCdb[[#This Row],[SQ_SZ]]&lt;UIoptions!$T$15),1,0),1)</f>
        <v>0</v>
      </c>
      <c r="BH255" s="38">
        <f>IF(UIoptions!$N$35=2,IF(AND(PCdb[[#This Row],[ROUND_D]]&gt;UIoptions!$S$15,PCdb[[#This Row],[ROUND_D]]&lt;UIoptions!$T$15),1,0),1)</f>
        <v>1</v>
      </c>
      <c r="BI255" s="38">
        <f>IF(UIoptions!$N$75&lt;&gt;1,1,IF(AND(PCdb[[#This Row],[FL]]&gt;UIoptions!$S$16,PCdb[[#This Row],[FL]]&lt;UIoptions!$T$16),1,0))</f>
        <v>0</v>
      </c>
      <c r="BJ255" s="38" t="e">
        <f>IF(OR(UIoptions!$Q$18=PCdb[[#This Row],[THRU_SCREW]],UIoptions!$Q$18="NA"),1,0)</f>
        <v>#N/A</v>
      </c>
      <c r="BK255" s="38">
        <f>IF(OR(UIoptions!$P$19=PCdb[[#This Row],[THREAD_SZ]],UIoptions!$P$19="NA"),1,0)</f>
        <v>1</v>
      </c>
      <c r="BL255" s="38">
        <f>IF(UIoptions!$N$75=1,1,IF(AND(PCdb[[#This Row],[THREAD_L]]&gt;UIoptions!$S$17,PCdb[[#This Row],[THREAD_L]]&lt;UIoptions!$T$17),1,0))</f>
        <v>1</v>
      </c>
      <c r="BM255" s="38" t="e">
        <f>IF(SUM(PCdb[[#This Row],[BDhit]:[THREAD_Lhit]])=11,1,0)</f>
        <v>#N/A</v>
      </c>
      <c r="BN25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66.738.146.3520.656.4NA6.7M4NANA4</v>
      </c>
      <c r="BO255" s="38" t="e">
        <f>SUM(PCdb[[#This Row],[BDhit]:[THREAD_Lhit]])</f>
        <v>#N/A</v>
      </c>
    </row>
    <row r="256" spans="1:67" x14ac:dyDescent="0.25">
      <c r="A256" s="7">
        <v>261</v>
      </c>
      <c r="B256" s="93">
        <v>70</v>
      </c>
      <c r="C256" s="93">
        <v>50</v>
      </c>
      <c r="D256" s="93">
        <v>4</v>
      </c>
      <c r="E256" s="93">
        <v>16</v>
      </c>
      <c r="F256" s="93">
        <v>32.5</v>
      </c>
      <c r="G256" s="93">
        <v>60</v>
      </c>
      <c r="H256" s="93" t="s">
        <v>87</v>
      </c>
      <c r="I256" s="93">
        <v>10.5</v>
      </c>
      <c r="J256" s="93" t="s">
        <v>45</v>
      </c>
      <c r="K256" s="93" t="s">
        <v>87</v>
      </c>
      <c r="L256" s="93" t="s">
        <v>87</v>
      </c>
      <c r="M256" s="93">
        <v>4</v>
      </c>
      <c r="N256" s="38" t="s">
        <v>45</v>
      </c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>
        <v>28</v>
      </c>
      <c r="AW256" s="38" t="s">
        <v>87</v>
      </c>
      <c r="AX256" s="38" t="s">
        <v>130</v>
      </c>
      <c r="AY256" s="38" t="s">
        <v>176</v>
      </c>
      <c r="AZ256" s="38">
        <v>45</v>
      </c>
      <c r="BA256" s="38">
        <v>90</v>
      </c>
      <c r="BB256" s="38">
        <f>IF(AND(PCdb[[#This Row],[BCD]]&gt;UIoptions!$S$10,PCdb[[#This Row],[BCD]]&lt;UIoptions!$T$10),1,0)</f>
        <v>0</v>
      </c>
      <c r="BC256" s="38">
        <f>IF(AND(PCdb[[#This Row],[PD]]&gt;UIoptions!$S$11,PCdb[[#This Row],[PD]]&lt;UIoptions!$T$11),1,0)</f>
        <v>0</v>
      </c>
      <c r="BD256" s="38">
        <f>IF(AND(UIoptions!$P$14&lt;=PCdb[[#This Row],[PL (MAX)]],UIoptions!$P$14&gt;UIoptions!$S$14),1,0)</f>
        <v>1</v>
      </c>
      <c r="BE256" s="38">
        <f>IF(AND(PCdb[[#This Row],[SD]]&gt;UIoptions!$S$12,PCdb[[#This Row],[SD]]&lt;UIoptions!$T$12),1,0)</f>
        <v>0</v>
      </c>
      <c r="BF256" s="38">
        <f>IF(AND(PCdb[[#This Row],[SL]]&gt;UIoptions!$S$13,PCdb[[#This Row],[SL]]&lt;UIoptions!$T$13),1,0)</f>
        <v>0</v>
      </c>
      <c r="BG256" s="38">
        <f>IF(UIoptions!$N$35=1,IF(AND(PCdb[[#This Row],[SQ_SZ]]&gt;UIoptions!$S$15,PCdb[[#This Row],[SQ_SZ]]&lt;UIoptions!$T$15),1,0),1)</f>
        <v>0</v>
      </c>
      <c r="BH256" s="38">
        <f>IF(UIoptions!$N$35=2,IF(AND(PCdb[[#This Row],[ROUND_D]]&gt;UIoptions!$S$15,PCdb[[#This Row],[ROUND_D]]&lt;UIoptions!$T$15),1,0),1)</f>
        <v>1</v>
      </c>
      <c r="BI256" s="38">
        <f>IF(UIoptions!$N$75&lt;&gt;1,1,IF(AND(PCdb[[#This Row],[FL]]&gt;UIoptions!$S$16,PCdb[[#This Row],[FL]]&lt;UIoptions!$T$16),1,0))</f>
        <v>0</v>
      </c>
      <c r="BJ256" s="38" t="e">
        <f>IF(OR(UIoptions!$Q$18=PCdb[[#This Row],[THRU_SCREW]],UIoptions!$Q$18="NA"),1,0)</f>
        <v>#N/A</v>
      </c>
      <c r="BK256" s="38">
        <f>IF(OR(UIoptions!$P$19=PCdb[[#This Row],[THREAD_SZ]],UIoptions!$P$19="NA"),1,0)</f>
        <v>1</v>
      </c>
      <c r="BL256" s="38">
        <f>IF(UIoptions!$N$75=1,1,IF(AND(PCdb[[#This Row],[THREAD_L]]&gt;UIoptions!$S$17,PCdb[[#This Row],[THREAD_L]]&lt;UIoptions!$T$17),1,0))</f>
        <v>1</v>
      </c>
      <c r="BM256" s="38" t="e">
        <f>IF(SUM(PCdb[[#This Row],[BDhit]:[THREAD_Lhit]])=11,1,0)</f>
        <v>#N/A</v>
      </c>
      <c r="BN25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705041632.560NA10.5M5NANA4</v>
      </c>
      <c r="BO256" s="38" t="e">
        <f>SUM(PCdb[[#This Row],[BDhit]:[THREAD_Lhit]])</f>
        <v>#N/A</v>
      </c>
    </row>
    <row r="257" spans="1:67" x14ac:dyDescent="0.25">
      <c r="A257" s="7">
        <v>262</v>
      </c>
      <c r="B257" s="93">
        <v>66.5</v>
      </c>
      <c r="C257" s="93">
        <v>38.1</v>
      </c>
      <c r="D257" s="93">
        <v>4</v>
      </c>
      <c r="E257" s="93">
        <v>12</v>
      </c>
      <c r="F257" s="93">
        <v>19.5</v>
      </c>
      <c r="G257" s="93">
        <v>62.2</v>
      </c>
      <c r="H257" s="93" t="s">
        <v>87</v>
      </c>
      <c r="I257" s="93">
        <v>6.4</v>
      </c>
      <c r="J257" s="93" t="s">
        <v>7</v>
      </c>
      <c r="K257" s="93" t="s">
        <v>87</v>
      </c>
      <c r="L257" s="93" t="s">
        <v>87</v>
      </c>
      <c r="M257" s="93">
        <v>4</v>
      </c>
      <c r="N257" s="38" t="s">
        <v>7</v>
      </c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>
        <v>28</v>
      </c>
      <c r="AW257" s="38" t="s">
        <v>87</v>
      </c>
      <c r="AX257" s="38" t="s">
        <v>130</v>
      </c>
      <c r="AY257" s="38" t="s">
        <v>176</v>
      </c>
      <c r="AZ257" s="38">
        <v>45</v>
      </c>
      <c r="BA257" s="38">
        <v>90</v>
      </c>
      <c r="BB257" s="38">
        <f>IF(AND(PCdb[[#This Row],[BCD]]&gt;UIoptions!$S$10,PCdb[[#This Row],[BCD]]&lt;UIoptions!$T$10),1,0)</f>
        <v>0</v>
      </c>
      <c r="BC257" s="38">
        <f>IF(AND(PCdb[[#This Row],[PD]]&gt;UIoptions!$S$11,PCdb[[#This Row],[PD]]&lt;UIoptions!$T$11),1,0)</f>
        <v>0</v>
      </c>
      <c r="BD257" s="38">
        <f>IF(AND(UIoptions!$P$14&lt;=PCdb[[#This Row],[PL (MAX)]],UIoptions!$P$14&gt;UIoptions!$S$14),1,0)</f>
        <v>1</v>
      </c>
      <c r="BE257" s="38">
        <f>IF(AND(PCdb[[#This Row],[SD]]&gt;UIoptions!$S$12,PCdb[[#This Row],[SD]]&lt;UIoptions!$T$12),1,0)</f>
        <v>0</v>
      </c>
      <c r="BF257" s="38">
        <f>IF(AND(PCdb[[#This Row],[SL]]&gt;UIoptions!$S$13,PCdb[[#This Row],[SL]]&lt;UIoptions!$T$13),1,0)</f>
        <v>0</v>
      </c>
      <c r="BG257" s="38">
        <f>IF(UIoptions!$N$35=1,IF(AND(PCdb[[#This Row],[SQ_SZ]]&gt;UIoptions!$S$15,PCdb[[#This Row],[SQ_SZ]]&lt;UIoptions!$T$15),1,0),1)</f>
        <v>0</v>
      </c>
      <c r="BH257" s="38">
        <f>IF(UIoptions!$N$35=2,IF(AND(PCdb[[#This Row],[ROUND_D]]&gt;UIoptions!$S$15,PCdb[[#This Row],[ROUND_D]]&lt;UIoptions!$T$15),1,0),1)</f>
        <v>1</v>
      </c>
      <c r="BI257" s="38">
        <f>IF(UIoptions!$N$75&lt;&gt;1,1,IF(AND(PCdb[[#This Row],[FL]]&gt;UIoptions!$S$16,PCdb[[#This Row],[FL]]&lt;UIoptions!$T$16),1,0))</f>
        <v>0</v>
      </c>
      <c r="BJ257" s="38" t="e">
        <f>IF(OR(UIoptions!$Q$18=PCdb[[#This Row],[THRU_SCREW]],UIoptions!$Q$18="NA"),1,0)</f>
        <v>#N/A</v>
      </c>
      <c r="BK257" s="38">
        <f>IF(OR(UIoptions!$P$19=PCdb[[#This Row],[THREAD_SZ]],UIoptions!$P$19="NA"),1,0)</f>
        <v>1</v>
      </c>
      <c r="BL257" s="38">
        <f>IF(UIoptions!$N$75=1,1,IF(AND(PCdb[[#This Row],[THREAD_L]]&gt;UIoptions!$S$17,PCdb[[#This Row],[THREAD_L]]&lt;UIoptions!$T$17),1,0))</f>
        <v>1</v>
      </c>
      <c r="BM257" s="38" t="e">
        <f>IF(SUM(PCdb[[#This Row],[BDhit]:[THREAD_Lhit]])=11,1,0)</f>
        <v>#N/A</v>
      </c>
      <c r="BN25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66.538.141219.562.2NA6.4M4NANA4</v>
      </c>
      <c r="BO257" s="38" t="e">
        <f>SUM(PCdb[[#This Row],[BDhit]:[THREAD_Lhit]])</f>
        <v>#N/A</v>
      </c>
    </row>
    <row r="258" spans="1:67" x14ac:dyDescent="0.25">
      <c r="A258" s="7">
        <v>263</v>
      </c>
      <c r="B258" s="93">
        <v>46</v>
      </c>
      <c r="C258" s="93">
        <v>30</v>
      </c>
      <c r="D258" s="93">
        <v>4</v>
      </c>
      <c r="E258" s="93">
        <v>8</v>
      </c>
      <c r="F258" s="93">
        <v>25</v>
      </c>
      <c r="G258" s="93">
        <v>40</v>
      </c>
      <c r="H258" s="93" t="s">
        <v>87</v>
      </c>
      <c r="I258" s="93">
        <v>7</v>
      </c>
      <c r="J258" s="93" t="s">
        <v>105</v>
      </c>
      <c r="K258" s="93" t="s">
        <v>87</v>
      </c>
      <c r="L258" s="93" t="s">
        <v>87</v>
      </c>
      <c r="M258" s="93">
        <v>4</v>
      </c>
      <c r="N258" s="38" t="s">
        <v>105</v>
      </c>
      <c r="O258" s="25">
        <v>38.700000000000003</v>
      </c>
      <c r="P258" s="38">
        <v>3</v>
      </c>
      <c r="Q258" s="38">
        <v>31.4</v>
      </c>
      <c r="R258" s="38" t="s">
        <v>130</v>
      </c>
      <c r="S258" s="38" t="s">
        <v>171</v>
      </c>
      <c r="T258" s="38">
        <v>45</v>
      </c>
      <c r="U258" s="38">
        <v>90</v>
      </c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>
        <f>IF(AND(PCdb[[#This Row],[BCD]]&gt;UIoptions!$S$10,PCdb[[#This Row],[BCD]]&lt;UIoptions!$T$10),1,0)</f>
        <v>0</v>
      </c>
      <c r="BC258" s="38">
        <f>IF(AND(PCdb[[#This Row],[PD]]&gt;UIoptions!$S$11,PCdb[[#This Row],[PD]]&lt;UIoptions!$T$11),1,0)</f>
        <v>0</v>
      </c>
      <c r="BD258" s="38">
        <f>IF(AND(UIoptions!$P$14&lt;=PCdb[[#This Row],[PL (MAX)]],UIoptions!$P$14&gt;UIoptions!$S$14),1,0)</f>
        <v>1</v>
      </c>
      <c r="BE258" s="38">
        <f>IF(AND(PCdb[[#This Row],[SD]]&gt;UIoptions!$S$12,PCdb[[#This Row],[SD]]&lt;UIoptions!$T$12),1,0)</f>
        <v>0</v>
      </c>
      <c r="BF258" s="38">
        <f>IF(AND(PCdb[[#This Row],[SL]]&gt;UIoptions!$S$13,PCdb[[#This Row],[SL]]&lt;UIoptions!$T$13),1,0)</f>
        <v>0</v>
      </c>
      <c r="BG258" s="38">
        <f>IF(UIoptions!$N$35=1,IF(AND(PCdb[[#This Row],[SQ_SZ]]&gt;UIoptions!$S$15,PCdb[[#This Row],[SQ_SZ]]&lt;UIoptions!$T$15),1,0),1)</f>
        <v>0</v>
      </c>
      <c r="BH258" s="38">
        <f>IF(UIoptions!$N$35=2,IF(AND(PCdb[[#This Row],[ROUND_D]]&gt;UIoptions!$S$15,PCdb[[#This Row],[ROUND_D]]&lt;UIoptions!$T$15),1,0),1)</f>
        <v>1</v>
      </c>
      <c r="BI258" s="38">
        <f>IF(UIoptions!$N$75&lt;&gt;1,1,IF(AND(PCdb[[#This Row],[FL]]&gt;UIoptions!$S$16,PCdb[[#This Row],[FL]]&lt;UIoptions!$T$16),1,0))</f>
        <v>0</v>
      </c>
      <c r="BJ258" s="38" t="e">
        <f>IF(OR(UIoptions!$Q$18=PCdb[[#This Row],[THRU_SCREW]],UIoptions!$Q$18="NA"),1,0)</f>
        <v>#N/A</v>
      </c>
      <c r="BK258" s="38">
        <f>IF(OR(UIoptions!$P$19=PCdb[[#This Row],[THREAD_SZ]],UIoptions!$P$19="NA"),1,0)</f>
        <v>1</v>
      </c>
      <c r="BL258" s="38">
        <f>IF(UIoptions!$N$75=1,1,IF(AND(PCdb[[#This Row],[THREAD_L]]&gt;UIoptions!$S$17,PCdb[[#This Row],[THREAD_L]]&lt;UIoptions!$T$17),1,0))</f>
        <v>1</v>
      </c>
      <c r="BM258" s="38" t="e">
        <f>IF(SUM(PCdb[[#This Row],[BDhit]:[THREAD_Lhit]])=11,1,0)</f>
        <v>#N/A</v>
      </c>
      <c r="BN25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4630482540NA7M3NANA4</v>
      </c>
      <c r="BO258" s="38" t="e">
        <f>SUM(PCdb[[#This Row],[BDhit]:[THREAD_Lhit]])</f>
        <v>#N/A</v>
      </c>
    </row>
    <row r="259" spans="1:67" x14ac:dyDescent="0.25">
      <c r="A259" s="7">
        <v>264</v>
      </c>
      <c r="B259" s="93">
        <v>70</v>
      </c>
      <c r="C259" s="93">
        <v>50</v>
      </c>
      <c r="D259" s="93">
        <v>4</v>
      </c>
      <c r="E259" s="93">
        <v>11</v>
      </c>
      <c r="F259" s="93">
        <v>30</v>
      </c>
      <c r="G259" s="93">
        <v>60</v>
      </c>
      <c r="H259" s="93" t="s">
        <v>87</v>
      </c>
      <c r="I259" s="93">
        <v>6</v>
      </c>
      <c r="J259" s="93" t="s">
        <v>7</v>
      </c>
      <c r="K259" s="93" t="s">
        <v>87</v>
      </c>
      <c r="L259" s="93" t="s">
        <v>87</v>
      </c>
      <c r="M259" s="93">
        <v>4</v>
      </c>
      <c r="N259" s="38" t="s">
        <v>7</v>
      </c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>
        <v>27</v>
      </c>
      <c r="AQ259" s="38" t="s">
        <v>87</v>
      </c>
      <c r="AR259" s="38" t="s">
        <v>130</v>
      </c>
      <c r="AS259" s="38" t="s">
        <v>176</v>
      </c>
      <c r="AT259" s="38">
        <v>45</v>
      </c>
      <c r="AU259" s="38">
        <v>90</v>
      </c>
      <c r="AV259" s="38"/>
      <c r="AW259" s="38"/>
      <c r="AX259" s="38"/>
      <c r="AY259" s="38"/>
      <c r="AZ259" s="38"/>
      <c r="BA259" s="38"/>
      <c r="BB259" s="38">
        <f>IF(AND(PCdb[[#This Row],[BCD]]&gt;UIoptions!$S$10,PCdb[[#This Row],[BCD]]&lt;UIoptions!$T$10),1,0)</f>
        <v>0</v>
      </c>
      <c r="BC259" s="38">
        <f>IF(AND(PCdb[[#This Row],[PD]]&gt;UIoptions!$S$11,PCdb[[#This Row],[PD]]&lt;UIoptions!$T$11),1,0)</f>
        <v>0</v>
      </c>
      <c r="BD259" s="38">
        <f>IF(AND(UIoptions!$P$14&lt;=PCdb[[#This Row],[PL (MAX)]],UIoptions!$P$14&gt;UIoptions!$S$14),1,0)</f>
        <v>1</v>
      </c>
      <c r="BE259" s="38">
        <f>IF(AND(PCdb[[#This Row],[SD]]&gt;UIoptions!$S$12,PCdb[[#This Row],[SD]]&lt;UIoptions!$T$12),1,0)</f>
        <v>1</v>
      </c>
      <c r="BF259" s="38">
        <f>IF(AND(PCdb[[#This Row],[SL]]&gt;UIoptions!$S$13,PCdb[[#This Row],[SL]]&lt;UIoptions!$T$13),1,0)</f>
        <v>0</v>
      </c>
      <c r="BG259" s="38">
        <f>IF(UIoptions!$N$35=1,IF(AND(PCdb[[#This Row],[SQ_SZ]]&gt;UIoptions!$S$15,PCdb[[#This Row],[SQ_SZ]]&lt;UIoptions!$T$15),1,0),1)</f>
        <v>0</v>
      </c>
      <c r="BH259" s="38">
        <f>IF(UIoptions!$N$35=2,IF(AND(PCdb[[#This Row],[ROUND_D]]&gt;UIoptions!$S$15,PCdb[[#This Row],[ROUND_D]]&lt;UIoptions!$T$15),1,0),1)</f>
        <v>1</v>
      </c>
      <c r="BI259" s="38">
        <f>IF(UIoptions!$N$75&lt;&gt;1,1,IF(AND(PCdb[[#This Row],[FL]]&gt;UIoptions!$S$16,PCdb[[#This Row],[FL]]&lt;UIoptions!$T$16),1,0))</f>
        <v>0</v>
      </c>
      <c r="BJ259" s="38" t="e">
        <f>IF(OR(UIoptions!$Q$18=PCdb[[#This Row],[THRU_SCREW]],UIoptions!$Q$18="NA"),1,0)</f>
        <v>#N/A</v>
      </c>
      <c r="BK259" s="38">
        <f>IF(OR(UIoptions!$P$19=PCdb[[#This Row],[THREAD_SZ]],UIoptions!$P$19="NA"),1,0)</f>
        <v>1</v>
      </c>
      <c r="BL259" s="38">
        <f>IF(UIoptions!$N$75=1,1,IF(AND(PCdb[[#This Row],[THREAD_L]]&gt;UIoptions!$S$17,PCdb[[#This Row],[THREAD_L]]&lt;UIoptions!$T$17),1,0))</f>
        <v>1</v>
      </c>
      <c r="BM259" s="38" t="e">
        <f>IF(SUM(PCdb[[#This Row],[BDhit]:[THREAD_Lhit]])=11,1,0)</f>
        <v>#N/A</v>
      </c>
      <c r="BN25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70504113060NA6M4NANA4</v>
      </c>
      <c r="BO259" s="38" t="e">
        <f>SUM(PCdb[[#This Row],[BDhit]:[THREAD_Lhit]])</f>
        <v>#N/A</v>
      </c>
    </row>
    <row r="260" spans="1:67" x14ac:dyDescent="0.25">
      <c r="A260" s="7">
        <v>265</v>
      </c>
      <c r="B260" s="93">
        <v>66.7</v>
      </c>
      <c r="C260" s="93">
        <v>38.1</v>
      </c>
      <c r="D260" s="93">
        <v>4</v>
      </c>
      <c r="E260" s="93">
        <v>6.35</v>
      </c>
      <c r="F260" s="93">
        <v>20.6</v>
      </c>
      <c r="G260" s="93">
        <v>56.4</v>
      </c>
      <c r="H260" s="93" t="s">
        <v>87</v>
      </c>
      <c r="I260" s="93">
        <v>4.9000000000000004</v>
      </c>
      <c r="J260" s="93" t="s">
        <v>7</v>
      </c>
      <c r="K260" s="93" t="s">
        <v>87</v>
      </c>
      <c r="L260" s="93" t="s">
        <v>87</v>
      </c>
      <c r="M260" s="93">
        <v>4</v>
      </c>
      <c r="N260" s="38" t="s">
        <v>7</v>
      </c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>
        <v>22</v>
      </c>
      <c r="AK260" s="38" t="s">
        <v>87</v>
      </c>
      <c r="AL260" s="38" t="s">
        <v>130</v>
      </c>
      <c r="AM260" s="38" t="s">
        <v>177</v>
      </c>
      <c r="AN260" s="38">
        <v>45</v>
      </c>
      <c r="AO260" s="38">
        <v>90</v>
      </c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>
        <f>IF(AND(PCdb[[#This Row],[BCD]]&gt;UIoptions!$S$10,PCdb[[#This Row],[BCD]]&lt;UIoptions!$T$10),1,0)</f>
        <v>0</v>
      </c>
      <c r="BC260" s="38">
        <f>IF(AND(PCdb[[#This Row],[PD]]&gt;UIoptions!$S$11,PCdb[[#This Row],[PD]]&lt;UIoptions!$T$11),1,0)</f>
        <v>0</v>
      </c>
      <c r="BD260" s="38">
        <f>IF(AND(UIoptions!$P$14&lt;=PCdb[[#This Row],[PL (MAX)]],UIoptions!$P$14&gt;UIoptions!$S$14),1,0)</f>
        <v>1</v>
      </c>
      <c r="BE260" s="38">
        <f>IF(AND(PCdb[[#This Row],[SD]]&gt;UIoptions!$S$12,PCdb[[#This Row],[SD]]&lt;UIoptions!$T$12),1,0)</f>
        <v>0</v>
      </c>
      <c r="BF260" s="38">
        <f>IF(AND(PCdb[[#This Row],[SL]]&gt;UIoptions!$S$13,PCdb[[#This Row],[SL]]&lt;UIoptions!$T$13),1,0)</f>
        <v>0</v>
      </c>
      <c r="BG260" s="38">
        <f>IF(UIoptions!$N$35=1,IF(AND(PCdb[[#This Row],[SQ_SZ]]&gt;UIoptions!$S$15,PCdb[[#This Row],[SQ_SZ]]&lt;UIoptions!$T$15),1,0),1)</f>
        <v>0</v>
      </c>
      <c r="BH260" s="38">
        <f>IF(UIoptions!$N$35=2,IF(AND(PCdb[[#This Row],[ROUND_D]]&gt;UIoptions!$S$15,PCdb[[#This Row],[ROUND_D]]&lt;UIoptions!$T$15),1,0),1)</f>
        <v>1</v>
      </c>
      <c r="BI260" s="38">
        <f>IF(UIoptions!$N$75&lt;&gt;1,1,IF(AND(PCdb[[#This Row],[FL]]&gt;UIoptions!$S$16,PCdb[[#This Row],[FL]]&lt;UIoptions!$T$16),1,0))</f>
        <v>0</v>
      </c>
      <c r="BJ260" s="38" t="e">
        <f>IF(OR(UIoptions!$Q$18=PCdb[[#This Row],[THRU_SCREW]],UIoptions!$Q$18="NA"),1,0)</f>
        <v>#N/A</v>
      </c>
      <c r="BK260" s="38">
        <f>IF(OR(UIoptions!$P$19=PCdb[[#This Row],[THREAD_SZ]],UIoptions!$P$19="NA"),1,0)</f>
        <v>1</v>
      </c>
      <c r="BL260" s="38">
        <f>IF(UIoptions!$N$75=1,1,IF(AND(PCdb[[#This Row],[THREAD_L]]&gt;UIoptions!$S$17,PCdb[[#This Row],[THREAD_L]]&lt;UIoptions!$T$17),1,0))</f>
        <v>1</v>
      </c>
      <c r="BM260" s="38" t="e">
        <f>IF(SUM(PCdb[[#This Row],[BDhit]:[THREAD_Lhit]])=11,1,0)</f>
        <v>#N/A</v>
      </c>
      <c r="BN26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66.738.146.3520.656.4NA4.9M4NANA4</v>
      </c>
      <c r="BO260" s="38" t="e">
        <f>SUM(PCdb[[#This Row],[BDhit]:[THREAD_Lhit]])</f>
        <v>#N/A</v>
      </c>
    </row>
    <row r="261" spans="1:67" x14ac:dyDescent="0.25">
      <c r="A261" s="7">
        <v>266</v>
      </c>
      <c r="B261" s="93">
        <v>66.7</v>
      </c>
      <c r="C261" s="93">
        <v>40</v>
      </c>
      <c r="D261" s="93">
        <v>4</v>
      </c>
      <c r="E261" s="93">
        <v>14</v>
      </c>
      <c r="F261" s="93">
        <v>34</v>
      </c>
      <c r="G261" s="93">
        <v>57</v>
      </c>
      <c r="H261" s="93" t="s">
        <v>87</v>
      </c>
      <c r="I261" s="93">
        <v>9</v>
      </c>
      <c r="J261" s="93" t="s">
        <v>7</v>
      </c>
      <c r="K261" s="93" t="s">
        <v>87</v>
      </c>
      <c r="L261" s="93" t="s">
        <v>87</v>
      </c>
      <c r="M261" s="93">
        <v>4</v>
      </c>
      <c r="N261" s="38" t="s">
        <v>7</v>
      </c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25">
        <v>45.2</v>
      </c>
      <c r="AD261" s="38">
        <v>3</v>
      </c>
      <c r="AE261" s="38">
        <v>50</v>
      </c>
      <c r="AF261" s="38" t="s">
        <v>130</v>
      </c>
      <c r="AG261" s="38" t="s">
        <v>171</v>
      </c>
      <c r="AH261" s="38">
        <v>45</v>
      </c>
      <c r="AI261" s="38">
        <v>90</v>
      </c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>
        <f>IF(AND(PCdb[[#This Row],[BCD]]&gt;UIoptions!$S$10,PCdb[[#This Row],[BCD]]&lt;UIoptions!$T$10),1,0)</f>
        <v>0</v>
      </c>
      <c r="BC261" s="38">
        <f>IF(AND(PCdb[[#This Row],[PD]]&gt;UIoptions!$S$11,PCdb[[#This Row],[PD]]&lt;UIoptions!$T$11),1,0)</f>
        <v>0</v>
      </c>
      <c r="BD261" s="38">
        <f>IF(AND(UIoptions!$P$14&lt;=PCdb[[#This Row],[PL (MAX)]],UIoptions!$P$14&gt;UIoptions!$S$14),1,0)</f>
        <v>1</v>
      </c>
      <c r="BE261" s="38">
        <f>IF(AND(PCdb[[#This Row],[SD]]&gt;UIoptions!$S$12,PCdb[[#This Row],[SD]]&lt;UIoptions!$T$12),1,0)</f>
        <v>0</v>
      </c>
      <c r="BF261" s="38">
        <f>IF(AND(PCdb[[#This Row],[SL]]&gt;UIoptions!$S$13,PCdb[[#This Row],[SL]]&lt;UIoptions!$T$13),1,0)</f>
        <v>0</v>
      </c>
      <c r="BG261" s="38">
        <f>IF(UIoptions!$N$35=1,IF(AND(PCdb[[#This Row],[SQ_SZ]]&gt;UIoptions!$S$15,PCdb[[#This Row],[SQ_SZ]]&lt;UIoptions!$T$15),1,0),1)</f>
        <v>0</v>
      </c>
      <c r="BH261" s="38">
        <f>IF(UIoptions!$N$35=2,IF(AND(PCdb[[#This Row],[ROUND_D]]&gt;UIoptions!$S$15,PCdb[[#This Row],[ROUND_D]]&lt;UIoptions!$T$15),1,0),1)</f>
        <v>1</v>
      </c>
      <c r="BI261" s="38">
        <f>IF(UIoptions!$N$75&lt;&gt;1,1,IF(AND(PCdb[[#This Row],[FL]]&gt;UIoptions!$S$16,PCdb[[#This Row],[FL]]&lt;UIoptions!$T$16),1,0))</f>
        <v>0</v>
      </c>
      <c r="BJ261" s="38" t="e">
        <f>IF(OR(UIoptions!$Q$18=PCdb[[#This Row],[THRU_SCREW]],UIoptions!$Q$18="NA"),1,0)</f>
        <v>#N/A</v>
      </c>
      <c r="BK261" s="38">
        <f>IF(OR(UIoptions!$P$19=PCdb[[#This Row],[THREAD_SZ]],UIoptions!$P$19="NA"),1,0)</f>
        <v>1</v>
      </c>
      <c r="BL261" s="38">
        <f>IF(UIoptions!$N$75=1,1,IF(AND(PCdb[[#This Row],[THREAD_L]]&gt;UIoptions!$S$17,PCdb[[#This Row],[THREAD_L]]&lt;UIoptions!$T$17),1,0))</f>
        <v>1</v>
      </c>
      <c r="BM261" s="38" t="e">
        <f>IF(SUM(PCdb[[#This Row],[BDhit]:[THREAD_Lhit]])=11,1,0)</f>
        <v>#N/A</v>
      </c>
      <c r="BN26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66.7404143457NA9M4NANA4</v>
      </c>
      <c r="BO261" s="38" t="e">
        <f>SUM(PCdb[[#This Row],[BDhit]:[THREAD_Lhit]])</f>
        <v>#N/A</v>
      </c>
    </row>
    <row r="262" spans="1:67" x14ac:dyDescent="0.25">
      <c r="A262" s="7">
        <v>267</v>
      </c>
      <c r="B262" s="93">
        <v>98.4</v>
      </c>
      <c r="C262" s="93">
        <v>73.03</v>
      </c>
      <c r="D262" s="93">
        <v>4</v>
      </c>
      <c r="E262" s="93">
        <v>9.5299999999999994</v>
      </c>
      <c r="F262" s="93">
        <v>30.5</v>
      </c>
      <c r="G262" s="93">
        <v>86.4</v>
      </c>
      <c r="H262" s="93" t="s">
        <v>87</v>
      </c>
      <c r="I262" s="93">
        <v>10</v>
      </c>
      <c r="J262" s="93" t="s">
        <v>49</v>
      </c>
      <c r="K262" s="93" t="s">
        <v>87</v>
      </c>
      <c r="L262" s="93" t="s">
        <v>87</v>
      </c>
      <c r="M262" s="93">
        <v>4</v>
      </c>
      <c r="N262" s="38" t="s">
        <v>49</v>
      </c>
      <c r="O262" s="38"/>
      <c r="P262" s="38"/>
      <c r="Q262" s="38"/>
      <c r="R262" s="38"/>
      <c r="S262" s="38"/>
      <c r="T262" s="38"/>
      <c r="U262" s="38"/>
      <c r="V262" s="38">
        <v>45.2</v>
      </c>
      <c r="W262" s="38">
        <v>38</v>
      </c>
      <c r="X262" s="38">
        <v>0</v>
      </c>
      <c r="Y262" s="38" t="s">
        <v>130</v>
      </c>
      <c r="Z262" s="38" t="s">
        <v>172</v>
      </c>
      <c r="AA262" s="38">
        <v>45</v>
      </c>
      <c r="AB262" s="38">
        <v>90</v>
      </c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>
        <f>IF(AND(PCdb[[#This Row],[BCD]]&gt;UIoptions!$S$10,PCdb[[#This Row],[BCD]]&lt;UIoptions!$T$10),1,0)</f>
        <v>0</v>
      </c>
      <c r="BC262" s="38">
        <f>IF(AND(PCdb[[#This Row],[PD]]&gt;UIoptions!$S$11,PCdb[[#This Row],[PD]]&lt;UIoptions!$T$11),1,0)</f>
        <v>0</v>
      </c>
      <c r="BD262" s="38">
        <f>IF(AND(UIoptions!$P$14&lt;=PCdb[[#This Row],[PL (MAX)]],UIoptions!$P$14&gt;UIoptions!$S$14),1,0)</f>
        <v>1</v>
      </c>
      <c r="BE262" s="38">
        <f>IF(AND(PCdb[[#This Row],[SD]]&gt;UIoptions!$S$12,PCdb[[#This Row],[SD]]&lt;UIoptions!$T$12),1,0)</f>
        <v>0</v>
      </c>
      <c r="BF262" s="38">
        <f>IF(AND(PCdb[[#This Row],[SL]]&gt;UIoptions!$S$13,PCdb[[#This Row],[SL]]&lt;UIoptions!$T$13),1,0)</f>
        <v>0</v>
      </c>
      <c r="BG262" s="38">
        <f>IF(UIoptions!$N$35=1,IF(AND(PCdb[[#This Row],[SQ_SZ]]&gt;UIoptions!$S$15,PCdb[[#This Row],[SQ_SZ]]&lt;UIoptions!$T$15),1,0),1)</f>
        <v>0</v>
      </c>
      <c r="BH262" s="38">
        <f>IF(UIoptions!$N$35=2,IF(AND(PCdb[[#This Row],[ROUND_D]]&gt;UIoptions!$S$15,PCdb[[#This Row],[ROUND_D]]&lt;UIoptions!$T$15),1,0),1)</f>
        <v>1</v>
      </c>
      <c r="BI262" s="38">
        <f>IF(UIoptions!$N$75&lt;&gt;1,1,IF(AND(PCdb[[#This Row],[FL]]&gt;UIoptions!$S$16,PCdb[[#This Row],[FL]]&lt;UIoptions!$T$16),1,0))</f>
        <v>0</v>
      </c>
      <c r="BJ262" s="38" t="e">
        <f>IF(OR(UIoptions!$Q$18=PCdb[[#This Row],[THRU_SCREW]],UIoptions!$Q$18="NA"),1,0)</f>
        <v>#N/A</v>
      </c>
      <c r="BK262" s="38">
        <f>IF(OR(UIoptions!$P$19=PCdb[[#This Row],[THREAD_SZ]],UIoptions!$P$19="NA"),1,0)</f>
        <v>1</v>
      </c>
      <c r="BL262" s="38">
        <f>IF(UIoptions!$N$75=1,1,IF(AND(PCdb[[#This Row],[THREAD_L]]&gt;UIoptions!$S$17,PCdb[[#This Row],[THREAD_L]]&lt;UIoptions!$T$17),1,0))</f>
        <v>1</v>
      </c>
      <c r="BM262" s="38" t="e">
        <f>IF(SUM(PCdb[[#This Row],[BDhit]:[THREAD_Lhit]])=11,1,0)</f>
        <v>#N/A</v>
      </c>
      <c r="BN26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98.473.0349.5330.586.4NA10M6NANA4</v>
      </c>
      <c r="BO262" s="38" t="e">
        <f>SUM(PCdb[[#This Row],[BDhit]:[THREAD_Lhit]])</f>
        <v>#N/A</v>
      </c>
    </row>
    <row r="263" spans="1:67" x14ac:dyDescent="0.25">
      <c r="A263" s="7">
        <v>268</v>
      </c>
      <c r="B263" s="93">
        <v>70</v>
      </c>
      <c r="C263" s="93">
        <v>50</v>
      </c>
      <c r="D263" s="93">
        <v>4</v>
      </c>
      <c r="E263" s="93">
        <v>11</v>
      </c>
      <c r="F263" s="93">
        <v>23</v>
      </c>
      <c r="G263" s="93">
        <v>60</v>
      </c>
      <c r="H263" s="93" t="s">
        <v>87</v>
      </c>
      <c r="I263" s="93">
        <v>6</v>
      </c>
      <c r="J263" s="93" t="s">
        <v>7</v>
      </c>
      <c r="K263" s="93" t="s">
        <v>87</v>
      </c>
      <c r="L263" s="93" t="s">
        <v>87</v>
      </c>
      <c r="M263" s="93">
        <v>4</v>
      </c>
      <c r="N263" s="38" t="s">
        <v>7</v>
      </c>
      <c r="O263" s="38">
        <v>36.200000000000003</v>
      </c>
      <c r="P263" s="38">
        <v>27</v>
      </c>
      <c r="Q263" s="38">
        <v>0</v>
      </c>
      <c r="R263" s="38" t="s">
        <v>130</v>
      </c>
      <c r="S263" s="38" t="s">
        <v>172</v>
      </c>
      <c r="T263" s="38">
        <v>45</v>
      </c>
      <c r="U263" s="38">
        <v>90</v>
      </c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>
        <f>IF(AND(PCdb[[#This Row],[BCD]]&gt;UIoptions!$S$10,PCdb[[#This Row],[BCD]]&lt;UIoptions!$T$10),1,0)</f>
        <v>0</v>
      </c>
      <c r="BC263" s="38">
        <f>IF(AND(PCdb[[#This Row],[PD]]&gt;UIoptions!$S$11,PCdb[[#This Row],[PD]]&lt;UIoptions!$T$11),1,0)</f>
        <v>0</v>
      </c>
      <c r="BD263" s="38">
        <f>IF(AND(UIoptions!$P$14&lt;=PCdb[[#This Row],[PL (MAX)]],UIoptions!$P$14&gt;UIoptions!$S$14),1,0)</f>
        <v>1</v>
      </c>
      <c r="BE263" s="38">
        <f>IF(AND(PCdb[[#This Row],[SD]]&gt;UIoptions!$S$12,PCdb[[#This Row],[SD]]&lt;UIoptions!$T$12),1,0)</f>
        <v>1</v>
      </c>
      <c r="BF263" s="38">
        <f>IF(AND(PCdb[[#This Row],[SL]]&gt;UIoptions!$S$13,PCdb[[#This Row],[SL]]&lt;UIoptions!$T$13),1,0)</f>
        <v>1</v>
      </c>
      <c r="BG263" s="38">
        <f>IF(UIoptions!$N$35=1,IF(AND(PCdb[[#This Row],[SQ_SZ]]&gt;UIoptions!$S$15,PCdb[[#This Row],[SQ_SZ]]&lt;UIoptions!$T$15),1,0),1)</f>
        <v>0</v>
      </c>
      <c r="BH263" s="38">
        <f>IF(UIoptions!$N$35=2,IF(AND(PCdb[[#This Row],[ROUND_D]]&gt;UIoptions!$S$15,PCdb[[#This Row],[ROUND_D]]&lt;UIoptions!$T$15),1,0),1)</f>
        <v>1</v>
      </c>
      <c r="BI263" s="38">
        <f>IF(UIoptions!$N$75&lt;&gt;1,1,IF(AND(PCdb[[#This Row],[FL]]&gt;UIoptions!$S$16,PCdb[[#This Row],[FL]]&lt;UIoptions!$T$16),1,0))</f>
        <v>0</v>
      </c>
      <c r="BJ263" s="38" t="e">
        <f>IF(OR(UIoptions!$Q$18=PCdb[[#This Row],[THRU_SCREW]],UIoptions!$Q$18="NA"),1,0)</f>
        <v>#N/A</v>
      </c>
      <c r="BK263" s="38">
        <f>IF(OR(UIoptions!$P$19=PCdb[[#This Row],[THREAD_SZ]],UIoptions!$P$19="NA"),1,0)</f>
        <v>1</v>
      </c>
      <c r="BL263" s="38">
        <f>IF(UIoptions!$N$75=1,1,IF(AND(PCdb[[#This Row],[THREAD_L]]&gt;UIoptions!$S$17,PCdb[[#This Row],[THREAD_L]]&lt;UIoptions!$T$17),1,0))</f>
        <v>1</v>
      </c>
      <c r="BM263" s="38" t="e">
        <f>IF(SUM(PCdb[[#This Row],[BDhit]:[THREAD_Lhit]])=11,1,0)</f>
        <v>#N/A</v>
      </c>
      <c r="BN26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70504112360NA6M4NANA4</v>
      </c>
      <c r="BO263" s="38" t="e">
        <f>SUM(PCdb[[#This Row],[BDhit]:[THREAD_Lhit]])</f>
        <v>#N/A</v>
      </c>
    </row>
    <row r="264" spans="1:67" x14ac:dyDescent="0.25">
      <c r="A264" s="7">
        <v>269</v>
      </c>
      <c r="B264" s="93">
        <v>63</v>
      </c>
      <c r="C264" s="93">
        <v>40</v>
      </c>
      <c r="D264" s="93">
        <v>4</v>
      </c>
      <c r="E264" s="93">
        <v>9</v>
      </c>
      <c r="F264" s="93">
        <v>20</v>
      </c>
      <c r="G264" s="93">
        <v>55</v>
      </c>
      <c r="H264" s="93" t="s">
        <v>87</v>
      </c>
      <c r="I264" s="93">
        <v>6</v>
      </c>
      <c r="J264" s="93" t="s">
        <v>45</v>
      </c>
      <c r="K264" s="93" t="s">
        <v>87</v>
      </c>
      <c r="L264" s="93" t="s">
        <v>87</v>
      </c>
      <c r="M264" s="93">
        <v>4</v>
      </c>
      <c r="N264" s="38" t="s">
        <v>45</v>
      </c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>
        <v>25</v>
      </c>
      <c r="AQ264" s="38" t="s">
        <v>87</v>
      </c>
      <c r="AR264" s="38" t="s">
        <v>130</v>
      </c>
      <c r="AS264" s="38" t="s">
        <v>176</v>
      </c>
      <c r="AT264" s="38">
        <v>45</v>
      </c>
      <c r="AU264" s="38">
        <v>90</v>
      </c>
      <c r="AV264" s="38"/>
      <c r="AW264" s="38"/>
      <c r="AX264" s="38"/>
      <c r="AY264" s="38"/>
      <c r="AZ264" s="38"/>
      <c r="BA264" s="38"/>
      <c r="BB264" s="38">
        <f>IF(AND(PCdb[[#This Row],[BCD]]&gt;UIoptions!$S$10,PCdb[[#This Row],[BCD]]&lt;UIoptions!$T$10),1,0)</f>
        <v>0</v>
      </c>
      <c r="BC264" s="38">
        <f>IF(AND(PCdb[[#This Row],[PD]]&gt;UIoptions!$S$11,PCdb[[#This Row],[PD]]&lt;UIoptions!$T$11),1,0)</f>
        <v>0</v>
      </c>
      <c r="BD264" s="38">
        <f>IF(AND(UIoptions!$P$14&lt;=PCdb[[#This Row],[PL (MAX)]],UIoptions!$P$14&gt;UIoptions!$S$14),1,0)</f>
        <v>1</v>
      </c>
      <c r="BE264" s="38">
        <f>IF(AND(PCdb[[#This Row],[SD]]&gt;UIoptions!$S$12,PCdb[[#This Row],[SD]]&lt;UIoptions!$T$12),1,0)</f>
        <v>0</v>
      </c>
      <c r="BF264" s="38">
        <f>IF(AND(PCdb[[#This Row],[SL]]&gt;UIoptions!$S$13,PCdb[[#This Row],[SL]]&lt;UIoptions!$T$13),1,0)</f>
        <v>0</v>
      </c>
      <c r="BG264" s="38">
        <f>IF(UIoptions!$N$35=1,IF(AND(PCdb[[#This Row],[SQ_SZ]]&gt;UIoptions!$S$15,PCdb[[#This Row],[SQ_SZ]]&lt;UIoptions!$T$15),1,0),1)</f>
        <v>0</v>
      </c>
      <c r="BH264" s="38">
        <f>IF(UIoptions!$N$35=2,IF(AND(PCdb[[#This Row],[ROUND_D]]&gt;UIoptions!$S$15,PCdb[[#This Row],[ROUND_D]]&lt;UIoptions!$T$15),1,0),1)</f>
        <v>1</v>
      </c>
      <c r="BI264" s="38">
        <f>IF(UIoptions!$N$75&lt;&gt;1,1,IF(AND(PCdb[[#This Row],[FL]]&gt;UIoptions!$S$16,PCdb[[#This Row],[FL]]&lt;UIoptions!$T$16),1,0))</f>
        <v>0</v>
      </c>
      <c r="BJ264" s="38" t="e">
        <f>IF(OR(UIoptions!$Q$18=PCdb[[#This Row],[THRU_SCREW]],UIoptions!$Q$18="NA"),1,0)</f>
        <v>#N/A</v>
      </c>
      <c r="BK264" s="38">
        <f>IF(OR(UIoptions!$P$19=PCdb[[#This Row],[THREAD_SZ]],UIoptions!$P$19="NA"),1,0)</f>
        <v>1</v>
      </c>
      <c r="BL264" s="38">
        <f>IF(UIoptions!$N$75=1,1,IF(AND(PCdb[[#This Row],[THREAD_L]]&gt;UIoptions!$S$17,PCdb[[#This Row],[THREAD_L]]&lt;UIoptions!$T$17),1,0))</f>
        <v>1</v>
      </c>
      <c r="BM264" s="38" t="e">
        <f>IF(SUM(PCdb[[#This Row],[BDhit]:[THREAD_Lhit]])=11,1,0)</f>
        <v>#N/A</v>
      </c>
      <c r="BN26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6340492055NA6M5NANA4</v>
      </c>
      <c r="BO264" s="38" t="e">
        <f>SUM(PCdb[[#This Row],[BDhit]:[THREAD_Lhit]])</f>
        <v>#N/A</v>
      </c>
    </row>
    <row r="265" spans="1:67" x14ac:dyDescent="0.25">
      <c r="A265" s="7">
        <v>270</v>
      </c>
      <c r="B265" s="93">
        <v>98.4</v>
      </c>
      <c r="C265" s="93">
        <v>73.03</v>
      </c>
      <c r="D265" s="93">
        <v>4</v>
      </c>
      <c r="E265" s="93">
        <v>12.7</v>
      </c>
      <c r="F265" s="93">
        <v>31.8</v>
      </c>
      <c r="G265" s="93">
        <v>90</v>
      </c>
      <c r="H265" s="93" t="s">
        <v>87</v>
      </c>
      <c r="I265" s="93">
        <v>10</v>
      </c>
      <c r="J265" s="93" t="s">
        <v>45</v>
      </c>
      <c r="K265" s="93" t="s">
        <v>87</v>
      </c>
      <c r="L265" s="93" t="s">
        <v>87</v>
      </c>
      <c r="M265" s="93">
        <v>4</v>
      </c>
      <c r="N265" s="38" t="s">
        <v>45</v>
      </c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>
        <v>45.2</v>
      </c>
      <c r="AD265" s="38">
        <v>39</v>
      </c>
      <c r="AE265" s="38">
        <v>0</v>
      </c>
      <c r="AF265" s="38" t="s">
        <v>130</v>
      </c>
      <c r="AG265" s="38" t="s">
        <v>172</v>
      </c>
      <c r="AH265" s="38">
        <v>45</v>
      </c>
      <c r="AI265" s="38">
        <v>90</v>
      </c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>
        <f>IF(AND(PCdb[[#This Row],[BCD]]&gt;UIoptions!$S$10,PCdb[[#This Row],[BCD]]&lt;UIoptions!$T$10),1,0)</f>
        <v>0</v>
      </c>
      <c r="BC265" s="38">
        <f>IF(AND(PCdb[[#This Row],[PD]]&gt;UIoptions!$S$11,PCdb[[#This Row],[PD]]&lt;UIoptions!$T$11),1,0)</f>
        <v>0</v>
      </c>
      <c r="BD265" s="38">
        <f>IF(AND(UIoptions!$P$14&lt;=PCdb[[#This Row],[PL (MAX)]],UIoptions!$P$14&gt;UIoptions!$S$14),1,0)</f>
        <v>1</v>
      </c>
      <c r="BE265" s="38">
        <f>IF(AND(PCdb[[#This Row],[SD]]&gt;UIoptions!$S$12,PCdb[[#This Row],[SD]]&lt;UIoptions!$T$12),1,0)</f>
        <v>0</v>
      </c>
      <c r="BF265" s="38">
        <f>IF(AND(PCdb[[#This Row],[SL]]&gt;UIoptions!$S$13,PCdb[[#This Row],[SL]]&lt;UIoptions!$T$13),1,0)</f>
        <v>0</v>
      </c>
      <c r="BG265" s="38">
        <f>IF(UIoptions!$N$35=1,IF(AND(PCdb[[#This Row],[SQ_SZ]]&gt;UIoptions!$S$15,PCdb[[#This Row],[SQ_SZ]]&lt;UIoptions!$T$15),1,0),1)</f>
        <v>0</v>
      </c>
      <c r="BH265" s="38">
        <f>IF(UIoptions!$N$35=2,IF(AND(PCdb[[#This Row],[ROUND_D]]&gt;UIoptions!$S$15,PCdb[[#This Row],[ROUND_D]]&lt;UIoptions!$T$15),1,0),1)</f>
        <v>1</v>
      </c>
      <c r="BI265" s="38">
        <f>IF(UIoptions!$N$75&lt;&gt;1,1,IF(AND(PCdb[[#This Row],[FL]]&gt;UIoptions!$S$16,PCdb[[#This Row],[FL]]&lt;UIoptions!$T$16),1,0))</f>
        <v>0</v>
      </c>
      <c r="BJ265" s="38" t="e">
        <f>IF(OR(UIoptions!$Q$18=PCdb[[#This Row],[THRU_SCREW]],UIoptions!$Q$18="NA"),1,0)</f>
        <v>#N/A</v>
      </c>
      <c r="BK265" s="38">
        <f>IF(OR(UIoptions!$P$19=PCdb[[#This Row],[THREAD_SZ]],UIoptions!$P$19="NA"),1,0)</f>
        <v>1</v>
      </c>
      <c r="BL265" s="38">
        <f>IF(UIoptions!$N$75=1,1,IF(AND(PCdb[[#This Row],[THREAD_L]]&gt;UIoptions!$S$17,PCdb[[#This Row],[THREAD_L]]&lt;UIoptions!$T$17),1,0))</f>
        <v>1</v>
      </c>
      <c r="BM265" s="38" t="e">
        <f>IF(SUM(PCdb[[#This Row],[BDhit]:[THREAD_Lhit]])=11,1,0)</f>
        <v>#N/A</v>
      </c>
      <c r="BN26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98.473.03412.731.890NA10M5NANA4</v>
      </c>
      <c r="BO265" s="38" t="e">
        <f>SUM(PCdb[[#This Row],[BDhit]:[THREAD_Lhit]])</f>
        <v>#N/A</v>
      </c>
    </row>
    <row r="266" spans="1:67" x14ac:dyDescent="0.25">
      <c r="A266" s="7">
        <v>271</v>
      </c>
      <c r="B266" s="93">
        <v>52</v>
      </c>
      <c r="C266" s="93">
        <v>40</v>
      </c>
      <c r="D266" s="93">
        <v>4</v>
      </c>
      <c r="E266" s="93">
        <v>14</v>
      </c>
      <c r="F266" s="93">
        <v>38</v>
      </c>
      <c r="G266" s="93">
        <v>60</v>
      </c>
      <c r="H266" s="93" t="s">
        <v>87</v>
      </c>
      <c r="I266" s="93" t="s">
        <v>87</v>
      </c>
      <c r="J266" s="93" t="s">
        <v>87</v>
      </c>
      <c r="K266" s="93" t="s">
        <v>45</v>
      </c>
      <c r="L266" s="93">
        <v>10</v>
      </c>
      <c r="M266" s="93">
        <v>4</v>
      </c>
      <c r="N266" s="38">
        <v>6</v>
      </c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 t="s">
        <v>87</v>
      </c>
      <c r="AQ266" s="38" t="s">
        <v>87</v>
      </c>
      <c r="AR266" s="38" t="s">
        <v>130</v>
      </c>
      <c r="AS266" s="34" t="s">
        <v>655</v>
      </c>
      <c r="AT266" s="38">
        <v>45</v>
      </c>
      <c r="AU266" s="38">
        <v>90</v>
      </c>
      <c r="AV266" s="38"/>
      <c r="AW266" s="38"/>
      <c r="AX266" s="38"/>
      <c r="AY266" s="38"/>
      <c r="AZ266" s="38"/>
      <c r="BA266" s="38"/>
      <c r="BB266" s="38">
        <f>IF(AND(PCdb[[#This Row],[BCD]]&gt;UIoptions!$S$10,PCdb[[#This Row],[BCD]]&lt;UIoptions!$T$10),1,0)</f>
        <v>0</v>
      </c>
      <c r="BC266" s="38">
        <f>IF(AND(PCdb[[#This Row],[PD]]&gt;UIoptions!$S$11,PCdb[[#This Row],[PD]]&lt;UIoptions!$T$11),1,0)</f>
        <v>0</v>
      </c>
      <c r="BD266" s="38">
        <f>IF(AND(UIoptions!$P$14&lt;=PCdb[[#This Row],[PL (MAX)]],UIoptions!$P$14&gt;UIoptions!$S$14),1,0)</f>
        <v>1</v>
      </c>
      <c r="BE266" s="38">
        <f>IF(AND(PCdb[[#This Row],[SD]]&gt;UIoptions!$S$12,PCdb[[#This Row],[SD]]&lt;UIoptions!$T$12),1,0)</f>
        <v>0</v>
      </c>
      <c r="BF266" s="38">
        <f>IF(AND(PCdb[[#This Row],[SL]]&gt;UIoptions!$S$13,PCdb[[#This Row],[SL]]&lt;UIoptions!$T$13),1,0)</f>
        <v>0</v>
      </c>
      <c r="BG266" s="38">
        <f>IF(UIoptions!$N$35=1,IF(AND(PCdb[[#This Row],[SQ_SZ]]&gt;UIoptions!$S$15,PCdb[[#This Row],[SQ_SZ]]&lt;UIoptions!$T$15),1,0),1)</f>
        <v>0</v>
      </c>
      <c r="BH266" s="38">
        <f>IF(UIoptions!$N$35=2,IF(AND(PCdb[[#This Row],[ROUND_D]]&gt;UIoptions!$S$15,PCdb[[#This Row],[ROUND_D]]&lt;UIoptions!$T$15),1,0),1)</f>
        <v>1</v>
      </c>
      <c r="BI266" s="38">
        <f>IF(UIoptions!$N$75&lt;&gt;1,1,IF(AND(PCdb[[#This Row],[FL]]&gt;UIoptions!$S$16,PCdb[[#This Row],[FL]]&lt;UIoptions!$T$16),1,0))</f>
        <v>0</v>
      </c>
      <c r="BJ266" s="38" t="e">
        <f>IF(OR(UIoptions!$Q$18=PCdb[[#This Row],[THRU_SCREW]],UIoptions!$Q$18="NA"),1,0)</f>
        <v>#N/A</v>
      </c>
      <c r="BK266" s="38">
        <f>IF(OR(UIoptions!$P$19=PCdb[[#This Row],[THREAD_SZ]],UIoptions!$P$19="NA"),1,0)</f>
        <v>1</v>
      </c>
      <c r="BL266" s="38">
        <f>IF(UIoptions!$N$75=1,1,IF(AND(PCdb[[#This Row],[THREAD_L]]&gt;UIoptions!$S$17,PCdb[[#This Row],[THREAD_L]]&lt;UIoptions!$T$17),1,0))</f>
        <v>1</v>
      </c>
      <c r="BM266" s="38" t="e">
        <f>IF(SUM(PCdb[[#This Row],[BDhit]:[THREAD_Lhit]])=11,1,0)</f>
        <v>#N/A</v>
      </c>
      <c r="BN26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52404143860NANANAM5104</v>
      </c>
      <c r="BO266" s="38" t="e">
        <f>SUM(PCdb[[#This Row],[BDhit]:[THREAD_Lhit]])</f>
        <v>#N/A</v>
      </c>
    </row>
    <row r="267" spans="1:67" x14ac:dyDescent="0.25">
      <c r="A267" s="7">
        <v>272</v>
      </c>
      <c r="B267" s="93">
        <v>66.7</v>
      </c>
      <c r="C267" s="93">
        <v>38.1</v>
      </c>
      <c r="D267" s="93">
        <v>4</v>
      </c>
      <c r="E267" s="93">
        <v>9.5299999999999994</v>
      </c>
      <c r="F267" s="93">
        <v>31.8</v>
      </c>
      <c r="G267" s="93">
        <v>57.2</v>
      </c>
      <c r="H267" s="93" t="s">
        <v>87</v>
      </c>
      <c r="I267" s="93">
        <v>6.4</v>
      </c>
      <c r="J267" s="93" t="s">
        <v>7</v>
      </c>
      <c r="K267" s="93" t="s">
        <v>87</v>
      </c>
      <c r="L267" s="93" t="s">
        <v>87</v>
      </c>
      <c r="M267" s="93">
        <v>4</v>
      </c>
      <c r="N267" s="38" t="s">
        <v>7</v>
      </c>
      <c r="O267" s="38"/>
      <c r="P267" s="38"/>
      <c r="Q267" s="38"/>
      <c r="R267" s="38"/>
      <c r="S267" s="38"/>
      <c r="T267" s="38"/>
      <c r="U267" s="38"/>
      <c r="V267" s="25">
        <v>41.7</v>
      </c>
      <c r="W267" s="38">
        <v>3</v>
      </c>
      <c r="X267" s="38">
        <v>49.2</v>
      </c>
      <c r="Y267" s="38" t="s">
        <v>130</v>
      </c>
      <c r="Z267" s="38" t="s">
        <v>172</v>
      </c>
      <c r="AA267" s="38">
        <v>45</v>
      </c>
      <c r="AB267" s="38">
        <v>90</v>
      </c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>
        <v>25</v>
      </c>
      <c r="AW267" s="38" t="s">
        <v>87</v>
      </c>
      <c r="AX267" s="38" t="s">
        <v>130</v>
      </c>
      <c r="AY267" s="38" t="s">
        <v>176</v>
      </c>
      <c r="AZ267" s="38">
        <v>45</v>
      </c>
      <c r="BA267" s="38">
        <v>90</v>
      </c>
      <c r="BB267" s="38">
        <f>IF(AND(PCdb[[#This Row],[BCD]]&gt;UIoptions!$S$10,PCdb[[#This Row],[BCD]]&lt;UIoptions!$T$10),1,0)</f>
        <v>0</v>
      </c>
      <c r="BC267" s="38">
        <f>IF(AND(PCdb[[#This Row],[PD]]&gt;UIoptions!$S$11,PCdb[[#This Row],[PD]]&lt;UIoptions!$T$11),1,0)</f>
        <v>0</v>
      </c>
      <c r="BD267" s="38">
        <f>IF(AND(UIoptions!$P$14&lt;=PCdb[[#This Row],[PL (MAX)]],UIoptions!$P$14&gt;UIoptions!$S$14),1,0)</f>
        <v>1</v>
      </c>
      <c r="BE267" s="38">
        <f>IF(AND(PCdb[[#This Row],[SD]]&gt;UIoptions!$S$12,PCdb[[#This Row],[SD]]&lt;UIoptions!$T$12),1,0)</f>
        <v>0</v>
      </c>
      <c r="BF267" s="38">
        <f>IF(AND(PCdb[[#This Row],[SL]]&gt;UIoptions!$S$13,PCdb[[#This Row],[SL]]&lt;UIoptions!$T$13),1,0)</f>
        <v>0</v>
      </c>
      <c r="BG267" s="38">
        <f>IF(UIoptions!$N$35=1,IF(AND(PCdb[[#This Row],[SQ_SZ]]&gt;UIoptions!$S$15,PCdb[[#This Row],[SQ_SZ]]&lt;UIoptions!$T$15),1,0),1)</f>
        <v>0</v>
      </c>
      <c r="BH267" s="38">
        <f>IF(UIoptions!$N$35=2,IF(AND(PCdb[[#This Row],[ROUND_D]]&gt;UIoptions!$S$15,PCdb[[#This Row],[ROUND_D]]&lt;UIoptions!$T$15),1,0),1)</f>
        <v>1</v>
      </c>
      <c r="BI267" s="38">
        <f>IF(UIoptions!$N$75&lt;&gt;1,1,IF(AND(PCdb[[#This Row],[FL]]&gt;UIoptions!$S$16,PCdb[[#This Row],[FL]]&lt;UIoptions!$T$16),1,0))</f>
        <v>0</v>
      </c>
      <c r="BJ267" s="38" t="e">
        <f>IF(OR(UIoptions!$Q$18=PCdb[[#This Row],[THRU_SCREW]],UIoptions!$Q$18="NA"),1,0)</f>
        <v>#N/A</v>
      </c>
      <c r="BK267" s="38">
        <f>IF(OR(UIoptions!$P$19=PCdb[[#This Row],[THREAD_SZ]],UIoptions!$P$19="NA"),1,0)</f>
        <v>1</v>
      </c>
      <c r="BL267" s="38">
        <f>IF(UIoptions!$N$75=1,1,IF(AND(PCdb[[#This Row],[THREAD_L]]&gt;UIoptions!$S$17,PCdb[[#This Row],[THREAD_L]]&lt;UIoptions!$T$17),1,0))</f>
        <v>1</v>
      </c>
      <c r="BM267" s="38" t="e">
        <f>IF(SUM(PCdb[[#This Row],[BDhit]:[THREAD_Lhit]])=11,1,0)</f>
        <v>#N/A</v>
      </c>
      <c r="BN26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66.738.149.5331.857.2NA6.4M4NANA4</v>
      </c>
      <c r="BO267" s="38" t="e">
        <f>SUM(PCdb[[#This Row],[BDhit]:[THREAD_Lhit]])</f>
        <v>#N/A</v>
      </c>
    </row>
    <row r="268" spans="1:67" x14ac:dyDescent="0.25">
      <c r="A268" s="7">
        <v>273</v>
      </c>
      <c r="B268" s="93">
        <v>70</v>
      </c>
      <c r="C268" s="93">
        <v>50</v>
      </c>
      <c r="D268" s="93">
        <v>4</v>
      </c>
      <c r="E268" s="93">
        <v>14</v>
      </c>
      <c r="F268" s="93">
        <v>30</v>
      </c>
      <c r="G268" s="93">
        <v>62</v>
      </c>
      <c r="H268" s="93" t="s">
        <v>87</v>
      </c>
      <c r="I268" s="93">
        <v>9</v>
      </c>
      <c r="J268" s="93" t="s">
        <v>7</v>
      </c>
      <c r="K268" s="93" t="s">
        <v>87</v>
      </c>
      <c r="L268" s="93" t="s">
        <v>87</v>
      </c>
      <c r="M268" s="93">
        <v>4</v>
      </c>
      <c r="N268" s="38" t="s">
        <v>7</v>
      </c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>
        <v>27</v>
      </c>
      <c r="AQ268" s="38" t="s">
        <v>87</v>
      </c>
      <c r="AR268" s="38" t="s">
        <v>130</v>
      </c>
      <c r="AS268" s="38" t="s">
        <v>176</v>
      </c>
      <c r="AT268" s="38">
        <v>45</v>
      </c>
      <c r="AU268" s="38">
        <v>90</v>
      </c>
      <c r="AV268" s="38"/>
      <c r="AW268" s="38"/>
      <c r="AX268" s="38"/>
      <c r="AY268" s="38"/>
      <c r="AZ268" s="38"/>
      <c r="BA268" s="38"/>
      <c r="BB268" s="38">
        <f>IF(AND(PCdb[[#This Row],[BCD]]&gt;UIoptions!$S$10,PCdb[[#This Row],[BCD]]&lt;UIoptions!$T$10),1,0)</f>
        <v>0</v>
      </c>
      <c r="BC268" s="38">
        <f>IF(AND(PCdb[[#This Row],[PD]]&gt;UIoptions!$S$11,PCdb[[#This Row],[PD]]&lt;UIoptions!$T$11),1,0)</f>
        <v>0</v>
      </c>
      <c r="BD268" s="38">
        <f>IF(AND(UIoptions!$P$14&lt;=PCdb[[#This Row],[PL (MAX)]],UIoptions!$P$14&gt;UIoptions!$S$14),1,0)</f>
        <v>1</v>
      </c>
      <c r="BE268" s="38">
        <f>IF(AND(PCdb[[#This Row],[SD]]&gt;UIoptions!$S$12,PCdb[[#This Row],[SD]]&lt;UIoptions!$T$12),1,0)</f>
        <v>0</v>
      </c>
      <c r="BF268" s="38">
        <f>IF(AND(PCdb[[#This Row],[SL]]&gt;UIoptions!$S$13,PCdb[[#This Row],[SL]]&lt;UIoptions!$T$13),1,0)</f>
        <v>0</v>
      </c>
      <c r="BG268" s="38">
        <f>IF(UIoptions!$N$35=1,IF(AND(PCdb[[#This Row],[SQ_SZ]]&gt;UIoptions!$S$15,PCdb[[#This Row],[SQ_SZ]]&lt;UIoptions!$T$15),1,0),1)</f>
        <v>0</v>
      </c>
      <c r="BH268" s="38">
        <f>IF(UIoptions!$N$35=2,IF(AND(PCdb[[#This Row],[ROUND_D]]&gt;UIoptions!$S$15,PCdb[[#This Row],[ROUND_D]]&lt;UIoptions!$T$15),1,0),1)</f>
        <v>1</v>
      </c>
      <c r="BI268" s="38">
        <f>IF(UIoptions!$N$75&lt;&gt;1,1,IF(AND(PCdb[[#This Row],[FL]]&gt;UIoptions!$S$16,PCdb[[#This Row],[FL]]&lt;UIoptions!$T$16),1,0))</f>
        <v>0</v>
      </c>
      <c r="BJ268" s="38" t="e">
        <f>IF(OR(UIoptions!$Q$18=PCdb[[#This Row],[THRU_SCREW]],UIoptions!$Q$18="NA"),1,0)</f>
        <v>#N/A</v>
      </c>
      <c r="BK268" s="38">
        <f>IF(OR(UIoptions!$P$19=PCdb[[#This Row],[THREAD_SZ]],UIoptions!$P$19="NA"),1,0)</f>
        <v>1</v>
      </c>
      <c r="BL268" s="38">
        <f>IF(UIoptions!$N$75=1,1,IF(AND(PCdb[[#This Row],[THREAD_L]]&gt;UIoptions!$S$17,PCdb[[#This Row],[THREAD_L]]&lt;UIoptions!$T$17),1,0))</f>
        <v>1</v>
      </c>
      <c r="BM268" s="38" t="e">
        <f>IF(SUM(PCdb[[#This Row],[BDhit]:[THREAD_Lhit]])=11,1,0)</f>
        <v>#N/A</v>
      </c>
      <c r="BN26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70504143062NA9M4NANA4</v>
      </c>
      <c r="BO268" s="38" t="e">
        <f>SUM(PCdb[[#This Row],[BDhit]:[THREAD_Lhit]])</f>
        <v>#N/A</v>
      </c>
    </row>
    <row r="269" spans="1:67" x14ac:dyDescent="0.25">
      <c r="A269" s="7">
        <v>274</v>
      </c>
      <c r="B269" s="93">
        <v>75</v>
      </c>
      <c r="C269" s="93">
        <v>60</v>
      </c>
      <c r="D269" s="93">
        <v>4</v>
      </c>
      <c r="E269" s="93">
        <v>14</v>
      </c>
      <c r="F269" s="93">
        <v>30</v>
      </c>
      <c r="G269" s="93" t="s">
        <v>87</v>
      </c>
      <c r="H269" s="93">
        <v>112</v>
      </c>
      <c r="I269" s="93" t="s">
        <v>87</v>
      </c>
      <c r="J269" s="93" t="s">
        <v>87</v>
      </c>
      <c r="K269" s="93" t="s">
        <v>45</v>
      </c>
      <c r="L269" s="93">
        <v>10</v>
      </c>
      <c r="M269" s="93">
        <v>4</v>
      </c>
      <c r="N269" s="38">
        <v>6</v>
      </c>
      <c r="O269" s="38"/>
      <c r="P269" s="38"/>
      <c r="Q269" s="38"/>
      <c r="R269" s="38"/>
      <c r="S269" s="38"/>
      <c r="T269" s="38"/>
      <c r="U269" s="38"/>
      <c r="V269" s="25">
        <v>45.2</v>
      </c>
      <c r="W269" s="38" t="s">
        <v>87</v>
      </c>
      <c r="X269" s="38" t="s">
        <v>87</v>
      </c>
      <c r="Y269" s="38" t="s">
        <v>130</v>
      </c>
      <c r="Z269" s="34" t="s">
        <v>697</v>
      </c>
      <c r="AA269" s="38">
        <v>45</v>
      </c>
      <c r="AB269" s="38">
        <v>90</v>
      </c>
      <c r="AC269" s="25">
        <v>48.7</v>
      </c>
      <c r="AD269" s="38" t="s">
        <v>87</v>
      </c>
      <c r="AE269" s="38" t="s">
        <v>87</v>
      </c>
      <c r="AF269" s="38" t="s">
        <v>130</v>
      </c>
      <c r="AG269" s="34" t="s">
        <v>698</v>
      </c>
      <c r="AH269" s="38">
        <v>45</v>
      </c>
      <c r="AI269" s="38">
        <v>90</v>
      </c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>
        <f>IF(AND(PCdb[[#This Row],[BCD]]&gt;UIoptions!$S$10,PCdb[[#This Row],[BCD]]&lt;UIoptions!$T$10),1,0)</f>
        <v>1</v>
      </c>
      <c r="BC269" s="38">
        <f>IF(AND(PCdb[[#This Row],[PD]]&gt;UIoptions!$S$11,PCdb[[#This Row],[PD]]&lt;UIoptions!$T$11),1,0)</f>
        <v>1</v>
      </c>
      <c r="BD269" s="38">
        <f>IF(AND(UIoptions!$P$14&lt;=PCdb[[#This Row],[PL (MAX)]],UIoptions!$P$14&gt;UIoptions!$S$14),1,0)</f>
        <v>1</v>
      </c>
      <c r="BE269" s="38">
        <f>IF(AND(PCdb[[#This Row],[SD]]&gt;UIoptions!$S$12,PCdb[[#This Row],[SD]]&lt;UIoptions!$T$12),1,0)</f>
        <v>0</v>
      </c>
      <c r="BF269" s="38">
        <f>IF(AND(PCdb[[#This Row],[SL]]&gt;UIoptions!$S$13,PCdb[[#This Row],[SL]]&lt;UIoptions!$T$13),1,0)</f>
        <v>0</v>
      </c>
      <c r="BG269" s="38">
        <f>IF(UIoptions!$N$35=1,IF(AND(PCdb[[#This Row],[SQ_SZ]]&gt;UIoptions!$S$15,PCdb[[#This Row],[SQ_SZ]]&lt;UIoptions!$T$15),1,0),1)</f>
        <v>0</v>
      </c>
      <c r="BH269" s="38">
        <f>IF(UIoptions!$N$35=2,IF(AND(PCdb[[#This Row],[ROUND_D]]&gt;UIoptions!$S$15,PCdb[[#This Row],[ROUND_D]]&lt;UIoptions!$T$15),1,0),1)</f>
        <v>1</v>
      </c>
      <c r="BI269" s="38">
        <f>IF(UIoptions!$N$75&lt;&gt;1,1,IF(AND(PCdb[[#This Row],[FL]]&gt;UIoptions!$S$16,PCdb[[#This Row],[FL]]&lt;UIoptions!$T$16),1,0))</f>
        <v>0</v>
      </c>
      <c r="BJ269" s="38" t="e">
        <f>IF(OR(UIoptions!$Q$18=PCdb[[#This Row],[THRU_SCREW]],UIoptions!$Q$18="NA"),1,0)</f>
        <v>#N/A</v>
      </c>
      <c r="BK269" s="38">
        <f>IF(OR(UIoptions!$P$19=PCdb[[#This Row],[THREAD_SZ]],UIoptions!$P$19="NA"),1,0)</f>
        <v>1</v>
      </c>
      <c r="BL269" s="38">
        <f>IF(UIoptions!$N$75=1,1,IF(AND(PCdb[[#This Row],[THREAD_L]]&gt;UIoptions!$S$17,PCdb[[#This Row],[THREAD_L]]&lt;UIoptions!$T$17),1,0))</f>
        <v>1</v>
      </c>
      <c r="BM269" s="38" t="e">
        <f>IF(SUM(PCdb[[#This Row],[BDhit]:[THREAD_Lhit]])=11,1,0)</f>
        <v>#N/A</v>
      </c>
      <c r="BN26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756041430NA112NANAM5104</v>
      </c>
      <c r="BO269" s="38" t="e">
        <f>SUM(PCdb[[#This Row],[BDhit]:[THREAD_Lhit]])</f>
        <v>#N/A</v>
      </c>
    </row>
    <row r="270" spans="1:67" x14ac:dyDescent="0.25">
      <c r="A270" s="7">
        <v>275</v>
      </c>
      <c r="B270" s="93">
        <v>90</v>
      </c>
      <c r="C270" s="93">
        <v>70</v>
      </c>
      <c r="D270" s="93">
        <v>4</v>
      </c>
      <c r="E270" s="93">
        <v>14</v>
      </c>
      <c r="F270" s="93">
        <v>34</v>
      </c>
      <c r="G270" s="93">
        <v>80</v>
      </c>
      <c r="H270" s="93" t="s">
        <v>87</v>
      </c>
      <c r="I270" s="93">
        <v>9</v>
      </c>
      <c r="J270" s="93" t="s">
        <v>49</v>
      </c>
      <c r="K270" s="93" t="s">
        <v>87</v>
      </c>
      <c r="L270" s="93" t="s">
        <v>87</v>
      </c>
      <c r="M270" s="93">
        <v>4</v>
      </c>
      <c r="N270" s="38" t="s">
        <v>49</v>
      </c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>
        <v>37</v>
      </c>
      <c r="AQ270" s="38" t="s">
        <v>87</v>
      </c>
      <c r="AR270" s="38" t="s">
        <v>130</v>
      </c>
      <c r="AS270" s="38" t="s">
        <v>177</v>
      </c>
      <c r="AT270" s="38">
        <v>45</v>
      </c>
      <c r="AU270" s="38">
        <v>90</v>
      </c>
      <c r="AV270" s="38"/>
      <c r="AW270" s="38"/>
      <c r="AX270" s="38"/>
      <c r="AY270" s="38"/>
      <c r="AZ270" s="38"/>
      <c r="BA270" s="38"/>
      <c r="BB270" s="38">
        <f>IF(AND(PCdb[[#This Row],[BCD]]&gt;UIoptions!$S$10,PCdb[[#This Row],[BCD]]&lt;UIoptions!$T$10),1,0)</f>
        <v>0</v>
      </c>
      <c r="BC270" s="38">
        <f>IF(AND(PCdb[[#This Row],[PD]]&gt;UIoptions!$S$11,PCdb[[#This Row],[PD]]&lt;UIoptions!$T$11),1,0)</f>
        <v>0</v>
      </c>
      <c r="BD270" s="38">
        <f>IF(AND(UIoptions!$P$14&lt;=PCdb[[#This Row],[PL (MAX)]],UIoptions!$P$14&gt;UIoptions!$S$14),1,0)</f>
        <v>1</v>
      </c>
      <c r="BE270" s="38">
        <f>IF(AND(PCdb[[#This Row],[SD]]&gt;UIoptions!$S$12,PCdb[[#This Row],[SD]]&lt;UIoptions!$T$12),1,0)</f>
        <v>0</v>
      </c>
      <c r="BF270" s="38">
        <f>IF(AND(PCdb[[#This Row],[SL]]&gt;UIoptions!$S$13,PCdb[[#This Row],[SL]]&lt;UIoptions!$T$13),1,0)</f>
        <v>0</v>
      </c>
      <c r="BG270" s="38">
        <f>IF(UIoptions!$N$35=1,IF(AND(PCdb[[#This Row],[SQ_SZ]]&gt;UIoptions!$S$15,PCdb[[#This Row],[SQ_SZ]]&lt;UIoptions!$T$15),1,0),1)</f>
        <v>0</v>
      </c>
      <c r="BH270" s="38">
        <f>IF(UIoptions!$N$35=2,IF(AND(PCdb[[#This Row],[ROUND_D]]&gt;UIoptions!$S$15,PCdb[[#This Row],[ROUND_D]]&lt;UIoptions!$T$15),1,0),1)</f>
        <v>1</v>
      </c>
      <c r="BI270" s="38">
        <f>IF(UIoptions!$N$75&lt;&gt;1,1,IF(AND(PCdb[[#This Row],[FL]]&gt;UIoptions!$S$16,PCdb[[#This Row],[FL]]&lt;UIoptions!$T$16),1,0))</f>
        <v>0</v>
      </c>
      <c r="BJ270" s="38" t="e">
        <f>IF(OR(UIoptions!$Q$18=PCdb[[#This Row],[THRU_SCREW]],UIoptions!$Q$18="NA"),1,0)</f>
        <v>#N/A</v>
      </c>
      <c r="BK270" s="38">
        <f>IF(OR(UIoptions!$P$19=PCdb[[#This Row],[THREAD_SZ]],UIoptions!$P$19="NA"),1,0)</f>
        <v>1</v>
      </c>
      <c r="BL270" s="38">
        <f>IF(UIoptions!$N$75=1,1,IF(AND(PCdb[[#This Row],[THREAD_L]]&gt;UIoptions!$S$17,PCdb[[#This Row],[THREAD_L]]&lt;UIoptions!$T$17),1,0))</f>
        <v>1</v>
      </c>
      <c r="BM270" s="38" t="e">
        <f>IF(SUM(PCdb[[#This Row],[BDhit]:[THREAD_Lhit]])=11,1,0)</f>
        <v>#N/A</v>
      </c>
      <c r="BN27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90704143480NA9M6NANA4</v>
      </c>
      <c r="BO270" s="38" t="e">
        <f>SUM(PCdb[[#This Row],[BDhit]:[THREAD_Lhit]])</f>
        <v>#N/A</v>
      </c>
    </row>
    <row r="271" spans="1:67" x14ac:dyDescent="0.25">
      <c r="A271" s="7">
        <v>278</v>
      </c>
      <c r="B271" s="93">
        <v>75</v>
      </c>
      <c r="C271" s="93">
        <v>60</v>
      </c>
      <c r="D271" s="93">
        <v>4</v>
      </c>
      <c r="E271" s="93">
        <v>14</v>
      </c>
      <c r="F271" s="93">
        <v>30</v>
      </c>
      <c r="G271" s="93">
        <v>70</v>
      </c>
      <c r="H271" s="93" t="s">
        <v>87</v>
      </c>
      <c r="I271" s="93">
        <v>7.5</v>
      </c>
      <c r="J271" s="93" t="s">
        <v>45</v>
      </c>
      <c r="K271" s="93" t="s">
        <v>87</v>
      </c>
      <c r="L271" s="93" t="s">
        <v>87</v>
      </c>
      <c r="M271" s="93">
        <v>4</v>
      </c>
      <c r="N271" s="38" t="s">
        <v>45</v>
      </c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>
        <v>32</v>
      </c>
      <c r="AQ271" s="38" t="s">
        <v>87</v>
      </c>
      <c r="AR271" s="38" t="s">
        <v>130</v>
      </c>
      <c r="AS271" s="38" t="s">
        <v>177</v>
      </c>
      <c r="AT271" s="38">
        <v>45</v>
      </c>
      <c r="AU271" s="38">
        <v>90</v>
      </c>
      <c r="AV271" s="38"/>
      <c r="AW271" s="38"/>
      <c r="AX271" s="38"/>
      <c r="AY271" s="38"/>
      <c r="AZ271" s="38"/>
      <c r="BA271" s="38"/>
      <c r="BB271" s="38">
        <f>IF(AND(PCdb[[#This Row],[BCD]]&gt;UIoptions!$S$10,PCdb[[#This Row],[BCD]]&lt;UIoptions!$T$10),1,0)</f>
        <v>1</v>
      </c>
      <c r="BC271" s="38">
        <f>IF(AND(PCdb[[#This Row],[PD]]&gt;UIoptions!$S$11,PCdb[[#This Row],[PD]]&lt;UIoptions!$T$11),1,0)</f>
        <v>1</v>
      </c>
      <c r="BD271" s="38">
        <f>IF(AND(UIoptions!$P$14&lt;=PCdb[[#This Row],[PL (MAX)]],UIoptions!$P$14&gt;UIoptions!$S$14),1,0)</f>
        <v>1</v>
      </c>
      <c r="BE271" s="38">
        <f>IF(AND(PCdb[[#This Row],[SD]]&gt;UIoptions!$S$12,PCdb[[#This Row],[SD]]&lt;UIoptions!$T$12),1,0)</f>
        <v>0</v>
      </c>
      <c r="BF271" s="38">
        <f>IF(AND(PCdb[[#This Row],[SL]]&gt;UIoptions!$S$13,PCdb[[#This Row],[SL]]&lt;UIoptions!$T$13),1,0)</f>
        <v>0</v>
      </c>
      <c r="BG271" s="38">
        <f>IF(UIoptions!$N$35=1,IF(AND(PCdb[[#This Row],[SQ_SZ]]&gt;UIoptions!$S$15,PCdb[[#This Row],[SQ_SZ]]&lt;UIoptions!$T$15),1,0),1)</f>
        <v>1</v>
      </c>
      <c r="BH271" s="38">
        <f>IF(UIoptions!$N$35=2,IF(AND(PCdb[[#This Row],[ROUND_D]]&gt;UIoptions!$S$15,PCdb[[#This Row],[ROUND_D]]&lt;UIoptions!$T$15),1,0),1)</f>
        <v>1</v>
      </c>
      <c r="BI271" s="38">
        <f>IF(UIoptions!$N$75&lt;&gt;1,1,IF(AND(PCdb[[#This Row],[FL]]&gt;UIoptions!$S$16,PCdb[[#This Row],[FL]]&lt;UIoptions!$T$16),1,0))</f>
        <v>0</v>
      </c>
      <c r="BJ271" s="38" t="e">
        <f>IF(OR(UIoptions!$Q$18=PCdb[[#This Row],[THRU_SCREW]],UIoptions!$Q$18="NA"),1,0)</f>
        <v>#N/A</v>
      </c>
      <c r="BK271" s="38">
        <f>IF(OR(UIoptions!$P$19=PCdb[[#This Row],[THREAD_SZ]],UIoptions!$P$19="NA"),1,0)</f>
        <v>1</v>
      </c>
      <c r="BL271" s="38">
        <f>IF(UIoptions!$N$75=1,1,IF(AND(PCdb[[#This Row],[THREAD_L]]&gt;UIoptions!$S$17,PCdb[[#This Row],[THREAD_L]]&lt;UIoptions!$T$17),1,0))</f>
        <v>1</v>
      </c>
      <c r="BM271" s="38" t="e">
        <f>IF(SUM(PCdb[[#This Row],[BDhit]:[THREAD_Lhit]])=11,1,0)</f>
        <v>#N/A</v>
      </c>
      <c r="BN27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75604143070NA7.5M5NANA4</v>
      </c>
      <c r="BO271" s="38" t="e">
        <f>SUM(PCdb[[#This Row],[BDhit]:[THREAD_Lhit]])</f>
        <v>#N/A</v>
      </c>
    </row>
    <row r="272" spans="1:67" x14ac:dyDescent="0.25">
      <c r="A272" s="7">
        <v>279</v>
      </c>
      <c r="B272" s="93">
        <v>52</v>
      </c>
      <c r="C272" s="93">
        <v>40</v>
      </c>
      <c r="D272" s="93">
        <v>4</v>
      </c>
      <c r="E272" s="93">
        <v>14</v>
      </c>
      <c r="F272" s="93">
        <v>35</v>
      </c>
      <c r="G272" s="93" t="s">
        <v>87</v>
      </c>
      <c r="H272" s="93">
        <v>60</v>
      </c>
      <c r="I272" s="93" t="s">
        <v>87</v>
      </c>
      <c r="J272" s="93" t="s">
        <v>87</v>
      </c>
      <c r="K272" s="93" t="s">
        <v>45</v>
      </c>
      <c r="L272" s="93">
        <v>8</v>
      </c>
      <c r="M272" s="93">
        <v>4</v>
      </c>
      <c r="N272" s="38">
        <v>6</v>
      </c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25"/>
      <c r="AD272" s="38"/>
      <c r="AE272" s="38"/>
      <c r="AF272" s="38"/>
      <c r="AG272" s="34"/>
      <c r="AH272" s="38"/>
      <c r="AI272" s="38"/>
      <c r="AJ272" s="38"/>
      <c r="AK272" s="38"/>
      <c r="AL272" s="38"/>
      <c r="AM272" s="38"/>
      <c r="AN272" s="38"/>
      <c r="AO272" s="38"/>
      <c r="AP272" s="38" t="s">
        <v>87</v>
      </c>
      <c r="AQ272" s="38" t="s">
        <v>87</v>
      </c>
      <c r="AR272" s="38" t="s">
        <v>180</v>
      </c>
      <c r="AS272" s="38" t="s">
        <v>280</v>
      </c>
      <c r="AT272" s="38">
        <v>45</v>
      </c>
      <c r="AU272" s="38">
        <v>90</v>
      </c>
      <c r="AV272" s="38" t="s">
        <v>87</v>
      </c>
      <c r="AW272" s="38" t="s">
        <v>87</v>
      </c>
      <c r="AX272" s="38" t="s">
        <v>130</v>
      </c>
      <c r="AY272" s="38" t="s">
        <v>280</v>
      </c>
      <c r="AZ272" s="38">
        <v>45</v>
      </c>
      <c r="BA272" s="38">
        <v>90</v>
      </c>
      <c r="BB272" s="38">
        <f>IF(AND(PCdb[[#This Row],[BCD]]&gt;UIoptions!$S$10,PCdb[[#This Row],[BCD]]&lt;UIoptions!$T$10),1,0)</f>
        <v>0</v>
      </c>
      <c r="BC272" s="38">
        <f>IF(AND(PCdb[[#This Row],[PD]]&gt;UIoptions!$S$11,PCdb[[#This Row],[PD]]&lt;UIoptions!$T$11),1,0)</f>
        <v>0</v>
      </c>
      <c r="BD272" s="38">
        <f>IF(AND(UIoptions!$P$14&lt;=PCdb[[#This Row],[PL (MAX)]],UIoptions!$P$14&gt;UIoptions!$S$14),1,0)</f>
        <v>1</v>
      </c>
      <c r="BE272" s="38">
        <f>IF(AND(PCdb[[#This Row],[SD]]&gt;UIoptions!$S$12,PCdb[[#This Row],[SD]]&lt;UIoptions!$T$12),1,0)</f>
        <v>0</v>
      </c>
      <c r="BF272" s="38">
        <f>IF(AND(PCdb[[#This Row],[SL]]&gt;UIoptions!$S$13,PCdb[[#This Row],[SL]]&lt;UIoptions!$T$13),1,0)</f>
        <v>0</v>
      </c>
      <c r="BG272" s="38">
        <f>IF(UIoptions!$N$35=1,IF(AND(PCdb[[#This Row],[SQ_SZ]]&gt;UIoptions!$S$15,PCdb[[#This Row],[SQ_SZ]]&lt;UIoptions!$T$15),1,0),1)</f>
        <v>0</v>
      </c>
      <c r="BH272" s="38">
        <f>IF(UIoptions!$N$35=2,IF(AND(PCdb[[#This Row],[ROUND_D]]&gt;UIoptions!$S$15,PCdb[[#This Row],[ROUND_D]]&lt;UIoptions!$T$15),1,0),1)</f>
        <v>1</v>
      </c>
      <c r="BI272" s="38">
        <f>IF(UIoptions!$N$75&lt;&gt;1,1,IF(AND(PCdb[[#This Row],[FL]]&gt;UIoptions!$S$16,PCdb[[#This Row],[FL]]&lt;UIoptions!$T$16),1,0))</f>
        <v>0</v>
      </c>
      <c r="BJ272" s="38" t="e">
        <f>IF(OR(UIoptions!$Q$18=PCdb[[#This Row],[THRU_SCREW]],UIoptions!$Q$18="NA"),1,0)</f>
        <v>#N/A</v>
      </c>
      <c r="BK272" s="38">
        <f>IF(OR(UIoptions!$P$19=PCdb[[#This Row],[THREAD_SZ]],UIoptions!$P$19="NA"),1,0)</f>
        <v>1</v>
      </c>
      <c r="BL272" s="38">
        <f>IF(UIoptions!$N$75=1,1,IF(AND(PCdb[[#This Row],[THREAD_L]]&gt;UIoptions!$S$17,PCdb[[#This Row],[THREAD_L]]&lt;UIoptions!$T$17),1,0))</f>
        <v>1</v>
      </c>
      <c r="BM272" s="38" t="e">
        <f>IF(SUM(PCdb[[#This Row],[BDhit]:[THREAD_Lhit]])=11,1,0)</f>
        <v>#N/A</v>
      </c>
      <c r="BN27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524041435NA60NANAM584</v>
      </c>
      <c r="BO272" s="38" t="e">
        <f>SUM(PCdb[[#This Row],[BDhit]:[THREAD_Lhit]])</f>
        <v>#N/A</v>
      </c>
    </row>
    <row r="273" spans="1:67" x14ac:dyDescent="0.25">
      <c r="A273" s="7">
        <v>280</v>
      </c>
      <c r="B273" s="93">
        <v>75</v>
      </c>
      <c r="C273" s="93">
        <v>60</v>
      </c>
      <c r="D273" s="93">
        <v>4</v>
      </c>
      <c r="E273" s="93">
        <v>11</v>
      </c>
      <c r="F273" s="93">
        <v>23</v>
      </c>
      <c r="G273" s="93">
        <v>72</v>
      </c>
      <c r="H273" s="93" t="s">
        <v>87</v>
      </c>
      <c r="I273" s="93">
        <v>15</v>
      </c>
      <c r="J273" s="93" t="s">
        <v>45</v>
      </c>
      <c r="K273" s="93" t="s">
        <v>87</v>
      </c>
      <c r="L273" s="93" t="s">
        <v>87</v>
      </c>
      <c r="M273" s="93">
        <v>4</v>
      </c>
      <c r="N273" s="38" t="s">
        <v>45</v>
      </c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>
        <v>32</v>
      </c>
      <c r="AQ273" s="38" t="s">
        <v>87</v>
      </c>
      <c r="AR273" s="38" t="s">
        <v>130</v>
      </c>
      <c r="AS273" s="38" t="s">
        <v>177</v>
      </c>
      <c r="AT273" s="38">
        <v>45</v>
      </c>
      <c r="AU273" s="38">
        <v>90</v>
      </c>
      <c r="AV273" s="38"/>
      <c r="AW273" s="38"/>
      <c r="AX273" s="38"/>
      <c r="AY273" s="38"/>
      <c r="AZ273" s="38"/>
      <c r="BA273" s="38"/>
      <c r="BB273" s="38">
        <f>IF(AND(PCdb[[#This Row],[BCD]]&gt;UIoptions!$S$10,PCdb[[#This Row],[BCD]]&lt;UIoptions!$T$10),1,0)</f>
        <v>1</v>
      </c>
      <c r="BC273" s="38">
        <f>IF(AND(PCdb[[#This Row],[PD]]&gt;UIoptions!$S$11,PCdb[[#This Row],[PD]]&lt;UIoptions!$T$11),1,0)</f>
        <v>1</v>
      </c>
      <c r="BD273" s="38">
        <f>IF(AND(UIoptions!$P$14&lt;=PCdb[[#This Row],[PL (MAX)]],UIoptions!$P$14&gt;UIoptions!$S$14),1,0)</f>
        <v>1</v>
      </c>
      <c r="BE273" s="38">
        <f>IF(AND(PCdb[[#This Row],[SD]]&gt;UIoptions!$S$12,PCdb[[#This Row],[SD]]&lt;UIoptions!$T$12),1,0)</f>
        <v>1</v>
      </c>
      <c r="BF273" s="38">
        <f>IF(AND(PCdb[[#This Row],[SL]]&gt;UIoptions!$S$13,PCdb[[#This Row],[SL]]&lt;UIoptions!$T$13),1,0)</f>
        <v>1</v>
      </c>
      <c r="BG273" s="38">
        <f>IF(UIoptions!$N$35=1,IF(AND(PCdb[[#This Row],[SQ_SZ]]&gt;UIoptions!$S$15,PCdb[[#This Row],[SQ_SZ]]&lt;UIoptions!$T$15),1,0),1)</f>
        <v>0</v>
      </c>
      <c r="BH273" s="38">
        <f>IF(UIoptions!$N$35=2,IF(AND(PCdb[[#This Row],[ROUND_D]]&gt;UIoptions!$S$15,PCdb[[#This Row],[ROUND_D]]&lt;UIoptions!$T$15),1,0),1)</f>
        <v>1</v>
      </c>
      <c r="BI273" s="38">
        <f>IF(UIoptions!$N$75&lt;&gt;1,1,IF(AND(PCdb[[#This Row],[FL]]&gt;UIoptions!$S$16,PCdb[[#This Row],[FL]]&lt;UIoptions!$T$16),1,0))</f>
        <v>0</v>
      </c>
      <c r="BJ273" s="38" t="e">
        <f>IF(OR(UIoptions!$Q$18=PCdb[[#This Row],[THRU_SCREW]],UIoptions!$Q$18="NA"),1,0)</f>
        <v>#N/A</v>
      </c>
      <c r="BK273" s="38">
        <f>IF(OR(UIoptions!$P$19=PCdb[[#This Row],[THREAD_SZ]],UIoptions!$P$19="NA"),1,0)</f>
        <v>1</v>
      </c>
      <c r="BL273" s="38">
        <f>IF(UIoptions!$N$75=1,1,IF(AND(PCdb[[#This Row],[THREAD_L]]&gt;UIoptions!$S$17,PCdb[[#This Row],[THREAD_L]]&lt;UIoptions!$T$17),1,0))</f>
        <v>1</v>
      </c>
      <c r="BM273" s="38" t="e">
        <f>IF(SUM(PCdb[[#This Row],[BDhit]:[THREAD_Lhit]])=11,1,0)</f>
        <v>#N/A</v>
      </c>
      <c r="BN27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75604112372NA15M5NANA4</v>
      </c>
      <c r="BO273" s="38" t="e">
        <f>SUM(PCdb[[#This Row],[BDhit]:[THREAD_Lhit]])</f>
        <v>#N/A</v>
      </c>
    </row>
    <row r="274" spans="1:67" x14ac:dyDescent="0.25">
      <c r="A274" s="7">
        <v>281</v>
      </c>
      <c r="B274" s="93">
        <v>26</v>
      </c>
      <c r="C274" s="93">
        <v>19</v>
      </c>
      <c r="D274" s="93">
        <v>4</v>
      </c>
      <c r="E274" s="93">
        <v>10</v>
      </c>
      <c r="F274" s="93">
        <v>21</v>
      </c>
      <c r="G274" s="93" t="s">
        <v>87</v>
      </c>
      <c r="H274" s="93">
        <v>32</v>
      </c>
      <c r="I274" s="93" t="s">
        <v>87</v>
      </c>
      <c r="J274" s="93" t="s">
        <v>87</v>
      </c>
      <c r="K274" s="93" t="s">
        <v>105</v>
      </c>
      <c r="L274" s="93">
        <v>4</v>
      </c>
      <c r="M274" s="93">
        <v>4</v>
      </c>
      <c r="N274" s="38">
        <v>4</v>
      </c>
      <c r="O274" s="25">
        <v>38.700000000000003</v>
      </c>
      <c r="P274" s="38" t="s">
        <v>87</v>
      </c>
      <c r="Q274" s="38" t="s">
        <v>87</v>
      </c>
      <c r="R274" s="38" t="s">
        <v>130</v>
      </c>
      <c r="S274" s="38" t="s">
        <v>278</v>
      </c>
      <c r="T274" s="38">
        <v>45</v>
      </c>
      <c r="U274" s="38">
        <v>90</v>
      </c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>
        <f>IF(AND(PCdb[[#This Row],[BCD]]&gt;UIoptions!$S$10,PCdb[[#This Row],[BCD]]&lt;UIoptions!$T$10),1,0)</f>
        <v>0</v>
      </c>
      <c r="BC274" s="38">
        <f>IF(AND(PCdb[[#This Row],[PD]]&gt;UIoptions!$S$11,PCdb[[#This Row],[PD]]&lt;UIoptions!$T$11),1,0)</f>
        <v>0</v>
      </c>
      <c r="BD274" s="38">
        <f>IF(AND(UIoptions!$P$14&lt;=PCdb[[#This Row],[PL (MAX)]],UIoptions!$P$14&gt;UIoptions!$S$14),1,0)</f>
        <v>1</v>
      </c>
      <c r="BE274" s="38">
        <f>IF(AND(PCdb[[#This Row],[SD]]&gt;UIoptions!$S$12,PCdb[[#This Row],[SD]]&lt;UIoptions!$T$12),1,0)</f>
        <v>0</v>
      </c>
      <c r="BF274" s="38">
        <f>IF(AND(PCdb[[#This Row],[SL]]&gt;UIoptions!$S$13,PCdb[[#This Row],[SL]]&lt;UIoptions!$T$13),1,0)</f>
        <v>0</v>
      </c>
      <c r="BG274" s="38">
        <f>IF(UIoptions!$N$35=1,IF(AND(PCdb[[#This Row],[SQ_SZ]]&gt;UIoptions!$S$15,PCdb[[#This Row],[SQ_SZ]]&lt;UIoptions!$T$15),1,0),1)</f>
        <v>0</v>
      </c>
      <c r="BH274" s="38">
        <f>IF(UIoptions!$N$35=2,IF(AND(PCdb[[#This Row],[ROUND_D]]&gt;UIoptions!$S$15,PCdb[[#This Row],[ROUND_D]]&lt;UIoptions!$T$15),1,0),1)</f>
        <v>1</v>
      </c>
      <c r="BI274" s="38">
        <f>IF(UIoptions!$N$75&lt;&gt;1,1,IF(AND(PCdb[[#This Row],[FL]]&gt;UIoptions!$S$16,PCdb[[#This Row],[FL]]&lt;UIoptions!$T$16),1,0))</f>
        <v>0</v>
      </c>
      <c r="BJ274" s="38" t="e">
        <f>IF(OR(UIoptions!$Q$18=PCdb[[#This Row],[THRU_SCREW]],UIoptions!$Q$18="NA"),1,0)</f>
        <v>#N/A</v>
      </c>
      <c r="BK274" s="38">
        <f>IF(OR(UIoptions!$P$19=PCdb[[#This Row],[THREAD_SZ]],UIoptions!$P$19="NA"),1,0)</f>
        <v>1</v>
      </c>
      <c r="BL274" s="38">
        <f>IF(UIoptions!$N$75=1,1,IF(AND(PCdb[[#This Row],[THREAD_L]]&gt;UIoptions!$S$17,PCdb[[#This Row],[THREAD_L]]&lt;UIoptions!$T$17),1,0))</f>
        <v>1</v>
      </c>
      <c r="BM274" s="38" t="e">
        <f>IF(SUM(PCdb[[#This Row],[BDhit]:[THREAD_Lhit]])=11,1,0)</f>
        <v>#N/A</v>
      </c>
      <c r="BN27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261941021NA32NANAM344</v>
      </c>
      <c r="BO274" s="38" t="e">
        <f>SUM(PCdb[[#This Row],[BDhit]:[THREAD_Lhit]])</f>
        <v>#N/A</v>
      </c>
    </row>
    <row r="275" spans="1:67" x14ac:dyDescent="0.25">
      <c r="A275" s="7">
        <v>282</v>
      </c>
      <c r="B275" s="93">
        <v>40</v>
      </c>
      <c r="C275" s="93">
        <v>32</v>
      </c>
      <c r="D275" s="93">
        <v>4</v>
      </c>
      <c r="E275" s="93">
        <v>12</v>
      </c>
      <c r="F275" s="93">
        <v>25</v>
      </c>
      <c r="G275" s="93" t="s">
        <v>87</v>
      </c>
      <c r="H275" s="93">
        <v>55</v>
      </c>
      <c r="I275" s="93" t="s">
        <v>87</v>
      </c>
      <c r="J275" s="93" t="s">
        <v>87</v>
      </c>
      <c r="K275" s="93" t="s">
        <v>45</v>
      </c>
      <c r="L275" s="93">
        <v>8</v>
      </c>
      <c r="M275" s="93">
        <v>4</v>
      </c>
      <c r="N275" s="38">
        <v>6</v>
      </c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25">
        <v>48.7</v>
      </c>
      <c r="AD275" s="38" t="s">
        <v>87</v>
      </c>
      <c r="AE275" s="38" t="s">
        <v>87</v>
      </c>
      <c r="AF275" s="38" t="s">
        <v>130</v>
      </c>
      <c r="AG275" s="34" t="s">
        <v>703</v>
      </c>
      <c r="AH275" s="38">
        <v>45</v>
      </c>
      <c r="AI275" s="38">
        <v>90</v>
      </c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>
        <f>IF(AND(PCdb[[#This Row],[BCD]]&gt;UIoptions!$S$10,PCdb[[#This Row],[BCD]]&lt;UIoptions!$T$10),1,0)</f>
        <v>0</v>
      </c>
      <c r="BC275" s="38">
        <f>IF(AND(PCdb[[#This Row],[PD]]&gt;UIoptions!$S$11,PCdb[[#This Row],[PD]]&lt;UIoptions!$T$11),1,0)</f>
        <v>0</v>
      </c>
      <c r="BD275" s="38">
        <f>IF(AND(UIoptions!$P$14&lt;=PCdb[[#This Row],[PL (MAX)]],UIoptions!$P$14&gt;UIoptions!$S$14),1,0)</f>
        <v>1</v>
      </c>
      <c r="BE275" s="38">
        <f>IF(AND(PCdb[[#This Row],[SD]]&gt;UIoptions!$S$12,PCdb[[#This Row],[SD]]&lt;UIoptions!$T$12),1,0)</f>
        <v>0</v>
      </c>
      <c r="BF275" s="38">
        <f>IF(AND(PCdb[[#This Row],[SL]]&gt;UIoptions!$S$13,PCdb[[#This Row],[SL]]&lt;UIoptions!$T$13),1,0)</f>
        <v>0</v>
      </c>
      <c r="BG275" s="38">
        <f>IF(UIoptions!$N$35=1,IF(AND(PCdb[[#This Row],[SQ_SZ]]&gt;UIoptions!$S$15,PCdb[[#This Row],[SQ_SZ]]&lt;UIoptions!$T$15),1,0),1)</f>
        <v>0</v>
      </c>
      <c r="BH275" s="38">
        <f>IF(UIoptions!$N$35=2,IF(AND(PCdb[[#This Row],[ROUND_D]]&gt;UIoptions!$S$15,PCdb[[#This Row],[ROUND_D]]&lt;UIoptions!$T$15),1,0),1)</f>
        <v>1</v>
      </c>
      <c r="BI275" s="38">
        <f>IF(UIoptions!$N$75&lt;&gt;1,1,IF(AND(PCdb[[#This Row],[FL]]&gt;UIoptions!$S$16,PCdb[[#This Row],[FL]]&lt;UIoptions!$T$16),1,0))</f>
        <v>0</v>
      </c>
      <c r="BJ275" s="38" t="e">
        <f>IF(OR(UIoptions!$Q$18=PCdb[[#This Row],[THRU_SCREW]],UIoptions!$Q$18="NA"),1,0)</f>
        <v>#N/A</v>
      </c>
      <c r="BK275" s="38">
        <f>IF(OR(UIoptions!$P$19=PCdb[[#This Row],[THREAD_SZ]],UIoptions!$P$19="NA"),1,0)</f>
        <v>1</v>
      </c>
      <c r="BL275" s="38">
        <f>IF(UIoptions!$N$75=1,1,IF(AND(PCdb[[#This Row],[THREAD_L]]&gt;UIoptions!$S$17,PCdb[[#This Row],[THREAD_L]]&lt;UIoptions!$T$17),1,0))</f>
        <v>1</v>
      </c>
      <c r="BM275" s="38" t="e">
        <f>IF(SUM(PCdb[[#This Row],[BDhit]:[THREAD_Lhit]])=11,1,0)</f>
        <v>#N/A</v>
      </c>
      <c r="BN27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403241225NA55NANAM584</v>
      </c>
      <c r="BO275" s="38" t="e">
        <f>SUM(PCdb[[#This Row],[BDhit]:[THREAD_Lhit]])</f>
        <v>#N/A</v>
      </c>
    </row>
    <row r="276" spans="1:67" x14ac:dyDescent="0.25">
      <c r="A276" s="7">
        <v>283</v>
      </c>
      <c r="B276" s="93">
        <v>40</v>
      </c>
      <c r="C276" s="93">
        <v>32</v>
      </c>
      <c r="D276" s="93">
        <v>4</v>
      </c>
      <c r="E276" s="93">
        <v>10</v>
      </c>
      <c r="F276" s="93">
        <v>25</v>
      </c>
      <c r="G276" s="93" t="s">
        <v>87</v>
      </c>
      <c r="H276" s="93">
        <v>52</v>
      </c>
      <c r="I276" s="93" t="s">
        <v>87</v>
      </c>
      <c r="J276" s="93" t="s">
        <v>87</v>
      </c>
      <c r="K276" s="93" t="s">
        <v>45</v>
      </c>
      <c r="L276" s="93">
        <v>7</v>
      </c>
      <c r="M276" s="93">
        <v>4</v>
      </c>
      <c r="N276" s="38">
        <v>6</v>
      </c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 t="s">
        <v>87</v>
      </c>
      <c r="AK276" s="38" t="s">
        <v>87</v>
      </c>
      <c r="AL276" s="38" t="s">
        <v>130</v>
      </c>
      <c r="AM276" s="34" t="s">
        <v>705</v>
      </c>
      <c r="AN276" s="38">
        <v>45</v>
      </c>
      <c r="AO276" s="38">
        <v>90</v>
      </c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>
        <f>IF(AND(PCdb[[#This Row],[BCD]]&gt;UIoptions!$S$10,PCdb[[#This Row],[BCD]]&lt;UIoptions!$T$10),1,0)</f>
        <v>0</v>
      </c>
      <c r="BC276" s="38">
        <f>IF(AND(PCdb[[#This Row],[PD]]&gt;UIoptions!$S$11,PCdb[[#This Row],[PD]]&lt;UIoptions!$T$11),1,0)</f>
        <v>0</v>
      </c>
      <c r="BD276" s="38">
        <f>IF(AND(UIoptions!$P$14&lt;=PCdb[[#This Row],[PL (MAX)]],UIoptions!$P$14&gt;UIoptions!$S$14),1,0)</f>
        <v>1</v>
      </c>
      <c r="BE276" s="38">
        <f>IF(AND(PCdb[[#This Row],[SD]]&gt;UIoptions!$S$12,PCdb[[#This Row],[SD]]&lt;UIoptions!$T$12),1,0)</f>
        <v>0</v>
      </c>
      <c r="BF276" s="38">
        <f>IF(AND(PCdb[[#This Row],[SL]]&gt;UIoptions!$S$13,PCdb[[#This Row],[SL]]&lt;UIoptions!$T$13),1,0)</f>
        <v>0</v>
      </c>
      <c r="BG276" s="38">
        <f>IF(UIoptions!$N$35=1,IF(AND(PCdb[[#This Row],[SQ_SZ]]&gt;UIoptions!$S$15,PCdb[[#This Row],[SQ_SZ]]&lt;UIoptions!$T$15),1,0),1)</f>
        <v>0</v>
      </c>
      <c r="BH276" s="38">
        <f>IF(UIoptions!$N$35=2,IF(AND(PCdb[[#This Row],[ROUND_D]]&gt;UIoptions!$S$15,PCdb[[#This Row],[ROUND_D]]&lt;UIoptions!$T$15),1,0),1)</f>
        <v>1</v>
      </c>
      <c r="BI276" s="38">
        <f>IF(UIoptions!$N$75&lt;&gt;1,1,IF(AND(PCdb[[#This Row],[FL]]&gt;UIoptions!$S$16,PCdb[[#This Row],[FL]]&lt;UIoptions!$T$16),1,0))</f>
        <v>0</v>
      </c>
      <c r="BJ276" s="38" t="e">
        <f>IF(OR(UIoptions!$Q$18=PCdb[[#This Row],[THRU_SCREW]],UIoptions!$Q$18="NA"),1,0)</f>
        <v>#N/A</v>
      </c>
      <c r="BK276" s="38">
        <f>IF(OR(UIoptions!$P$19=PCdb[[#This Row],[THREAD_SZ]],UIoptions!$P$19="NA"),1,0)</f>
        <v>1</v>
      </c>
      <c r="BL276" s="38">
        <f>IF(UIoptions!$N$75=1,1,IF(AND(PCdb[[#This Row],[THREAD_L]]&gt;UIoptions!$S$17,PCdb[[#This Row],[THREAD_L]]&lt;UIoptions!$T$17),1,0))</f>
        <v>1</v>
      </c>
      <c r="BM276" s="38" t="e">
        <f>IF(SUM(PCdb[[#This Row],[BDhit]:[THREAD_Lhit]])=11,1,0)</f>
        <v>#N/A</v>
      </c>
      <c r="BN27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403241025NA52NANAM574</v>
      </c>
      <c r="BO276" s="38" t="e">
        <f>SUM(PCdb[[#This Row],[BDhit]:[THREAD_Lhit]])</f>
        <v>#N/A</v>
      </c>
    </row>
    <row r="277" spans="1:67" x14ac:dyDescent="0.25">
      <c r="A277" s="7">
        <v>284</v>
      </c>
      <c r="B277" s="93">
        <v>90</v>
      </c>
      <c r="C277" s="93">
        <v>70</v>
      </c>
      <c r="D277" s="93">
        <v>4</v>
      </c>
      <c r="E277" s="93">
        <v>16</v>
      </c>
      <c r="F277" s="93">
        <v>40</v>
      </c>
      <c r="G277" s="93">
        <v>82</v>
      </c>
      <c r="H277" s="93" t="s">
        <v>87</v>
      </c>
      <c r="I277" s="93">
        <v>8</v>
      </c>
      <c r="J277" s="93" t="s">
        <v>49</v>
      </c>
      <c r="K277" s="93" t="s">
        <v>87</v>
      </c>
      <c r="L277" s="93" t="s">
        <v>87</v>
      </c>
      <c r="M277" s="93">
        <v>4</v>
      </c>
      <c r="N277" s="38" t="s">
        <v>49</v>
      </c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>
        <v>38</v>
      </c>
      <c r="AW277" s="38" t="s">
        <v>87</v>
      </c>
      <c r="AX277" s="38" t="s">
        <v>130</v>
      </c>
      <c r="AY277" s="38" t="s">
        <v>177</v>
      </c>
      <c r="AZ277" s="38">
        <v>45</v>
      </c>
      <c r="BA277" s="38">
        <v>90</v>
      </c>
      <c r="BB277" s="38">
        <f>IF(AND(PCdb[[#This Row],[BCD]]&gt;UIoptions!$S$10,PCdb[[#This Row],[BCD]]&lt;UIoptions!$T$10),1,0)</f>
        <v>0</v>
      </c>
      <c r="BC277" s="38">
        <f>IF(AND(PCdb[[#This Row],[PD]]&gt;UIoptions!$S$11,PCdb[[#This Row],[PD]]&lt;UIoptions!$T$11),1,0)</f>
        <v>0</v>
      </c>
      <c r="BD277" s="38">
        <f>IF(AND(UIoptions!$P$14&lt;=PCdb[[#This Row],[PL (MAX)]],UIoptions!$P$14&gt;UIoptions!$S$14),1,0)</f>
        <v>1</v>
      </c>
      <c r="BE277" s="38">
        <f>IF(AND(PCdb[[#This Row],[SD]]&gt;UIoptions!$S$12,PCdb[[#This Row],[SD]]&lt;UIoptions!$T$12),1,0)</f>
        <v>0</v>
      </c>
      <c r="BF277" s="38">
        <f>IF(AND(PCdb[[#This Row],[SL]]&gt;UIoptions!$S$13,PCdb[[#This Row],[SL]]&lt;UIoptions!$T$13),1,0)</f>
        <v>0</v>
      </c>
      <c r="BG277" s="38">
        <f>IF(UIoptions!$N$35=1,IF(AND(PCdb[[#This Row],[SQ_SZ]]&gt;UIoptions!$S$15,PCdb[[#This Row],[SQ_SZ]]&lt;UIoptions!$T$15),1,0),1)</f>
        <v>0</v>
      </c>
      <c r="BH277" s="38">
        <f>IF(UIoptions!$N$35=2,IF(AND(PCdb[[#This Row],[ROUND_D]]&gt;UIoptions!$S$15,PCdb[[#This Row],[ROUND_D]]&lt;UIoptions!$T$15),1,0),1)</f>
        <v>1</v>
      </c>
      <c r="BI277" s="38">
        <f>IF(UIoptions!$N$75&lt;&gt;1,1,IF(AND(PCdb[[#This Row],[FL]]&gt;UIoptions!$S$16,PCdb[[#This Row],[FL]]&lt;UIoptions!$T$16),1,0))</f>
        <v>0</v>
      </c>
      <c r="BJ277" s="38" t="e">
        <f>IF(OR(UIoptions!$Q$18=PCdb[[#This Row],[THRU_SCREW]],UIoptions!$Q$18="NA"),1,0)</f>
        <v>#N/A</v>
      </c>
      <c r="BK277" s="38">
        <f>IF(OR(UIoptions!$P$19=PCdb[[#This Row],[THREAD_SZ]],UIoptions!$P$19="NA"),1,0)</f>
        <v>1</v>
      </c>
      <c r="BL277" s="38">
        <f>IF(UIoptions!$N$75=1,1,IF(AND(PCdb[[#This Row],[THREAD_L]]&gt;UIoptions!$S$17,PCdb[[#This Row],[THREAD_L]]&lt;UIoptions!$T$17),1,0))</f>
        <v>1</v>
      </c>
      <c r="BM277" s="38" t="e">
        <f>IF(SUM(PCdb[[#This Row],[BDhit]:[THREAD_Lhit]])=11,1,0)</f>
        <v>#N/A</v>
      </c>
      <c r="BN27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90704164082NA8M6NANA4</v>
      </c>
      <c r="BO277" s="38" t="e">
        <f>SUM(PCdb[[#This Row],[BDhit]:[THREAD_Lhit]])</f>
        <v>#N/A</v>
      </c>
    </row>
    <row r="278" spans="1:67" x14ac:dyDescent="0.25">
      <c r="A278" s="7">
        <v>285</v>
      </c>
      <c r="B278" s="93">
        <v>44</v>
      </c>
      <c r="C278" s="93">
        <v>35</v>
      </c>
      <c r="D278" s="93">
        <v>4</v>
      </c>
      <c r="E278" s="93">
        <v>12</v>
      </c>
      <c r="F278" s="93">
        <v>24.5</v>
      </c>
      <c r="G278" s="93" t="s">
        <v>87</v>
      </c>
      <c r="H278" s="93">
        <v>50</v>
      </c>
      <c r="I278" s="93" t="s">
        <v>87</v>
      </c>
      <c r="J278" s="93" t="s">
        <v>87</v>
      </c>
      <c r="K278" s="93" t="s">
        <v>7</v>
      </c>
      <c r="L278" s="93">
        <v>8</v>
      </c>
      <c r="M278" s="93">
        <v>4</v>
      </c>
      <c r="N278" s="38">
        <v>5</v>
      </c>
      <c r="O278" s="38"/>
      <c r="P278" s="38"/>
      <c r="Q278" s="38"/>
      <c r="R278" s="38"/>
      <c r="S278" s="38"/>
      <c r="T278" s="38"/>
      <c r="U278" s="38"/>
      <c r="V278" s="25">
        <v>41.7</v>
      </c>
      <c r="W278" s="38" t="s">
        <v>87</v>
      </c>
      <c r="X278" s="38" t="s">
        <v>87</v>
      </c>
      <c r="Y278" s="38" t="s">
        <v>130</v>
      </c>
      <c r="Z278" s="38" t="s">
        <v>279</v>
      </c>
      <c r="AA278" s="38">
        <v>45</v>
      </c>
      <c r="AB278" s="38">
        <v>90</v>
      </c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 t="s">
        <v>87</v>
      </c>
      <c r="AQ278" s="38" t="s">
        <v>87</v>
      </c>
      <c r="AR278" s="38" t="s">
        <v>130</v>
      </c>
      <c r="AS278" s="38" t="s">
        <v>281</v>
      </c>
      <c r="AT278" s="38">
        <v>45</v>
      </c>
      <c r="AU278" s="38">
        <v>90</v>
      </c>
      <c r="AV278" s="38"/>
      <c r="AW278" s="38"/>
      <c r="AX278" s="38"/>
      <c r="AY278" s="38"/>
      <c r="AZ278" s="38"/>
      <c r="BA278" s="38"/>
      <c r="BB278" s="38">
        <f>IF(AND(PCdb[[#This Row],[BCD]]&gt;UIoptions!$S$10,PCdb[[#This Row],[BCD]]&lt;UIoptions!$T$10),1,0)</f>
        <v>0</v>
      </c>
      <c r="BC278" s="38">
        <f>IF(AND(PCdb[[#This Row],[PD]]&gt;UIoptions!$S$11,PCdb[[#This Row],[PD]]&lt;UIoptions!$T$11),1,0)</f>
        <v>0</v>
      </c>
      <c r="BD278" s="38">
        <f>IF(AND(UIoptions!$P$14&lt;=PCdb[[#This Row],[PL (MAX)]],UIoptions!$P$14&gt;UIoptions!$S$14),1,0)</f>
        <v>1</v>
      </c>
      <c r="BE278" s="38">
        <f>IF(AND(PCdb[[#This Row],[SD]]&gt;UIoptions!$S$12,PCdb[[#This Row],[SD]]&lt;UIoptions!$T$12),1,0)</f>
        <v>0</v>
      </c>
      <c r="BF278" s="38">
        <f>IF(AND(PCdb[[#This Row],[SL]]&gt;UIoptions!$S$13,PCdb[[#This Row],[SL]]&lt;UIoptions!$T$13),1,0)</f>
        <v>0</v>
      </c>
      <c r="BG278" s="38">
        <f>IF(UIoptions!$N$35=1,IF(AND(PCdb[[#This Row],[SQ_SZ]]&gt;UIoptions!$S$15,PCdb[[#This Row],[SQ_SZ]]&lt;UIoptions!$T$15),1,0),1)</f>
        <v>0</v>
      </c>
      <c r="BH278" s="38">
        <f>IF(UIoptions!$N$35=2,IF(AND(PCdb[[#This Row],[ROUND_D]]&gt;UIoptions!$S$15,PCdb[[#This Row],[ROUND_D]]&lt;UIoptions!$T$15),1,0),1)</f>
        <v>1</v>
      </c>
      <c r="BI278" s="38">
        <f>IF(UIoptions!$N$75&lt;&gt;1,1,IF(AND(PCdb[[#This Row],[FL]]&gt;UIoptions!$S$16,PCdb[[#This Row],[FL]]&lt;UIoptions!$T$16),1,0))</f>
        <v>0</v>
      </c>
      <c r="BJ278" s="38" t="e">
        <f>IF(OR(UIoptions!$Q$18=PCdb[[#This Row],[THRU_SCREW]],UIoptions!$Q$18="NA"),1,0)</f>
        <v>#N/A</v>
      </c>
      <c r="BK278" s="38">
        <f>IF(OR(UIoptions!$P$19=PCdb[[#This Row],[THREAD_SZ]],UIoptions!$P$19="NA"),1,0)</f>
        <v>1</v>
      </c>
      <c r="BL278" s="38">
        <f>IF(UIoptions!$N$75=1,1,IF(AND(PCdb[[#This Row],[THREAD_L]]&gt;UIoptions!$S$17,PCdb[[#This Row],[THREAD_L]]&lt;UIoptions!$T$17),1,0))</f>
        <v>1</v>
      </c>
      <c r="BM278" s="38" t="e">
        <f>IF(SUM(PCdb[[#This Row],[BDhit]:[THREAD_Lhit]])=11,1,0)</f>
        <v>#N/A</v>
      </c>
      <c r="BN27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443541224.5NA50NANAM484</v>
      </c>
      <c r="BO278" s="38" t="e">
        <f>SUM(PCdb[[#This Row],[BDhit]:[THREAD_Lhit]])</f>
        <v>#N/A</v>
      </c>
    </row>
    <row r="279" spans="1:67" x14ac:dyDescent="0.25">
      <c r="A279" s="7">
        <v>286</v>
      </c>
      <c r="B279" s="93">
        <v>63</v>
      </c>
      <c r="C279" s="93">
        <v>40</v>
      </c>
      <c r="D279" s="93">
        <v>4</v>
      </c>
      <c r="E279" s="93">
        <v>11</v>
      </c>
      <c r="F279" s="93">
        <v>23</v>
      </c>
      <c r="G279" s="93">
        <v>55</v>
      </c>
      <c r="H279" s="93" t="s">
        <v>87</v>
      </c>
      <c r="I279" s="93">
        <v>8</v>
      </c>
      <c r="J279" s="93" t="s">
        <v>45</v>
      </c>
      <c r="K279" s="93" t="s">
        <v>87</v>
      </c>
      <c r="L279" s="93" t="s">
        <v>87</v>
      </c>
      <c r="M279" s="93">
        <v>4</v>
      </c>
      <c r="N279" s="38" t="s">
        <v>45</v>
      </c>
      <c r="O279" s="25">
        <v>36.200000000000003</v>
      </c>
      <c r="P279" s="38">
        <v>24</v>
      </c>
      <c r="Q279" s="38" t="s">
        <v>87</v>
      </c>
      <c r="R279" s="38" t="s">
        <v>130</v>
      </c>
      <c r="S279" s="38" t="s">
        <v>172</v>
      </c>
      <c r="T279" s="38">
        <v>45</v>
      </c>
      <c r="U279" s="38">
        <v>90</v>
      </c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>
        <f>IF(AND(PCdb[[#This Row],[BCD]]&gt;UIoptions!$S$10,PCdb[[#This Row],[BCD]]&lt;UIoptions!$T$10),1,0)</f>
        <v>0</v>
      </c>
      <c r="BC279" s="38">
        <f>IF(AND(PCdb[[#This Row],[PD]]&gt;UIoptions!$S$11,PCdb[[#This Row],[PD]]&lt;UIoptions!$T$11),1,0)</f>
        <v>0</v>
      </c>
      <c r="BD279" s="38">
        <f>IF(AND(UIoptions!$P$14&lt;=PCdb[[#This Row],[PL (MAX)]],UIoptions!$P$14&gt;UIoptions!$S$14),1,0)</f>
        <v>1</v>
      </c>
      <c r="BE279" s="38">
        <f>IF(AND(PCdb[[#This Row],[SD]]&gt;UIoptions!$S$12,PCdb[[#This Row],[SD]]&lt;UIoptions!$T$12),1,0)</f>
        <v>1</v>
      </c>
      <c r="BF279" s="38">
        <f>IF(AND(PCdb[[#This Row],[SL]]&gt;UIoptions!$S$13,PCdb[[#This Row],[SL]]&lt;UIoptions!$T$13),1,0)</f>
        <v>1</v>
      </c>
      <c r="BG279" s="38">
        <f>IF(UIoptions!$N$35=1,IF(AND(PCdb[[#This Row],[SQ_SZ]]&gt;UIoptions!$S$15,PCdb[[#This Row],[SQ_SZ]]&lt;UIoptions!$T$15),1,0),1)</f>
        <v>0</v>
      </c>
      <c r="BH279" s="38">
        <f>IF(UIoptions!$N$35=2,IF(AND(PCdb[[#This Row],[ROUND_D]]&gt;UIoptions!$S$15,PCdb[[#This Row],[ROUND_D]]&lt;UIoptions!$T$15),1,0),1)</f>
        <v>1</v>
      </c>
      <c r="BI279" s="38">
        <f>IF(UIoptions!$N$75&lt;&gt;1,1,IF(AND(PCdb[[#This Row],[FL]]&gt;UIoptions!$S$16,PCdb[[#This Row],[FL]]&lt;UIoptions!$T$16),1,0))</f>
        <v>0</v>
      </c>
      <c r="BJ279" s="38" t="e">
        <f>IF(OR(UIoptions!$Q$18=PCdb[[#This Row],[THRU_SCREW]],UIoptions!$Q$18="NA"),1,0)</f>
        <v>#N/A</v>
      </c>
      <c r="BK279" s="38">
        <f>IF(OR(UIoptions!$P$19=PCdb[[#This Row],[THREAD_SZ]],UIoptions!$P$19="NA"),1,0)</f>
        <v>1</v>
      </c>
      <c r="BL279" s="38">
        <f>IF(UIoptions!$N$75=1,1,IF(AND(PCdb[[#This Row],[THREAD_L]]&gt;UIoptions!$S$17,PCdb[[#This Row],[THREAD_L]]&lt;UIoptions!$T$17),1,0))</f>
        <v>1</v>
      </c>
      <c r="BM279" s="38" t="e">
        <f>IF(SUM(PCdb[[#This Row],[BDhit]:[THREAD_Lhit]])=11,1,0)</f>
        <v>#N/A</v>
      </c>
      <c r="BN27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63404112355NA8M5NANA4</v>
      </c>
      <c r="BO279" s="38" t="e">
        <f>SUM(PCdb[[#This Row],[BDhit]:[THREAD_Lhit]])</f>
        <v>#N/A</v>
      </c>
    </row>
    <row r="280" spans="1:67" x14ac:dyDescent="0.25">
      <c r="A280" s="7">
        <v>287</v>
      </c>
      <c r="B280" s="93">
        <v>52</v>
      </c>
      <c r="C280" s="93">
        <v>40</v>
      </c>
      <c r="D280" s="93">
        <v>4</v>
      </c>
      <c r="E280" s="93">
        <v>14</v>
      </c>
      <c r="F280" s="93">
        <v>34</v>
      </c>
      <c r="G280" s="93" t="s">
        <v>87</v>
      </c>
      <c r="H280" s="93">
        <v>60</v>
      </c>
      <c r="I280" s="93" t="s">
        <v>87</v>
      </c>
      <c r="J280" s="93" t="s">
        <v>87</v>
      </c>
      <c r="K280" s="93" t="s">
        <v>45</v>
      </c>
      <c r="L280" s="93">
        <v>10</v>
      </c>
      <c r="M280" s="93">
        <v>4</v>
      </c>
      <c r="N280" s="38">
        <v>6</v>
      </c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25">
        <v>45.2</v>
      </c>
      <c r="AD280" s="38" t="s">
        <v>87</v>
      </c>
      <c r="AE280" s="38" t="s">
        <v>87</v>
      </c>
      <c r="AF280" s="38" t="s">
        <v>130</v>
      </c>
      <c r="AG280" s="38" t="s">
        <v>279</v>
      </c>
      <c r="AH280" s="38">
        <v>45</v>
      </c>
      <c r="AI280" s="38">
        <v>90</v>
      </c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>
        <f>IF(AND(PCdb[[#This Row],[BCD]]&gt;UIoptions!$S$10,PCdb[[#This Row],[BCD]]&lt;UIoptions!$T$10),1,0)</f>
        <v>0</v>
      </c>
      <c r="BC280" s="38">
        <f>IF(AND(PCdb[[#This Row],[PD]]&gt;UIoptions!$S$11,PCdb[[#This Row],[PD]]&lt;UIoptions!$T$11),1,0)</f>
        <v>0</v>
      </c>
      <c r="BD280" s="38">
        <f>IF(AND(UIoptions!$P$14&lt;=PCdb[[#This Row],[PL (MAX)]],UIoptions!$P$14&gt;UIoptions!$S$14),1,0)</f>
        <v>1</v>
      </c>
      <c r="BE280" s="38">
        <f>IF(AND(PCdb[[#This Row],[SD]]&gt;UIoptions!$S$12,PCdb[[#This Row],[SD]]&lt;UIoptions!$T$12),1,0)</f>
        <v>0</v>
      </c>
      <c r="BF280" s="38">
        <f>IF(AND(PCdb[[#This Row],[SL]]&gt;UIoptions!$S$13,PCdb[[#This Row],[SL]]&lt;UIoptions!$T$13),1,0)</f>
        <v>0</v>
      </c>
      <c r="BG280" s="38">
        <f>IF(UIoptions!$N$35=1,IF(AND(PCdb[[#This Row],[SQ_SZ]]&gt;UIoptions!$S$15,PCdb[[#This Row],[SQ_SZ]]&lt;UIoptions!$T$15),1,0),1)</f>
        <v>0</v>
      </c>
      <c r="BH280" s="38">
        <f>IF(UIoptions!$N$35=2,IF(AND(PCdb[[#This Row],[ROUND_D]]&gt;UIoptions!$S$15,PCdb[[#This Row],[ROUND_D]]&lt;UIoptions!$T$15),1,0),1)</f>
        <v>1</v>
      </c>
      <c r="BI280" s="38">
        <f>IF(UIoptions!$N$75&lt;&gt;1,1,IF(AND(PCdb[[#This Row],[FL]]&gt;UIoptions!$S$16,PCdb[[#This Row],[FL]]&lt;UIoptions!$T$16),1,0))</f>
        <v>0</v>
      </c>
      <c r="BJ280" s="38" t="e">
        <f>IF(OR(UIoptions!$Q$18=PCdb[[#This Row],[THRU_SCREW]],UIoptions!$Q$18="NA"),1,0)</f>
        <v>#N/A</v>
      </c>
      <c r="BK280" s="38">
        <f>IF(OR(UIoptions!$P$19=PCdb[[#This Row],[THREAD_SZ]],UIoptions!$P$19="NA"),1,0)</f>
        <v>1</v>
      </c>
      <c r="BL280" s="38">
        <f>IF(UIoptions!$N$75=1,1,IF(AND(PCdb[[#This Row],[THREAD_L]]&gt;UIoptions!$S$17,PCdb[[#This Row],[THREAD_L]]&lt;UIoptions!$T$17),1,0))</f>
        <v>1</v>
      </c>
      <c r="BM280" s="38" t="e">
        <f>IF(SUM(PCdb[[#This Row],[BDhit]:[THREAD_Lhit]])=11,1,0)</f>
        <v>#N/A</v>
      </c>
      <c r="BN28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524041434NA60NANAM5104</v>
      </c>
      <c r="BO280" s="38" t="e">
        <f>SUM(PCdb[[#This Row],[BDhit]:[THREAD_Lhit]])</f>
        <v>#N/A</v>
      </c>
    </row>
    <row r="281" spans="1:67" x14ac:dyDescent="0.25">
      <c r="A281" s="7">
        <v>288</v>
      </c>
      <c r="B281" s="93">
        <v>75</v>
      </c>
      <c r="C281" s="93">
        <v>60</v>
      </c>
      <c r="D281" s="93">
        <v>4</v>
      </c>
      <c r="E281" s="93">
        <v>11</v>
      </c>
      <c r="F281" s="93">
        <v>23</v>
      </c>
      <c r="G281" s="93" t="s">
        <v>87</v>
      </c>
      <c r="H281" s="93">
        <v>90</v>
      </c>
      <c r="I281" s="93" t="s">
        <v>87</v>
      </c>
      <c r="J281" s="93" t="s">
        <v>87</v>
      </c>
      <c r="K281" s="93" t="s">
        <v>45</v>
      </c>
      <c r="L281" s="93">
        <v>11</v>
      </c>
      <c r="M281" s="93">
        <v>4</v>
      </c>
      <c r="N281" s="38">
        <v>6</v>
      </c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 t="s">
        <v>87</v>
      </c>
      <c r="AW281" s="38" t="s">
        <v>87</v>
      </c>
      <c r="AX281" s="38" t="s">
        <v>130</v>
      </c>
      <c r="AY281" s="34" t="s">
        <v>708</v>
      </c>
      <c r="AZ281" s="38">
        <v>45</v>
      </c>
      <c r="BA281" s="38">
        <v>90</v>
      </c>
      <c r="BB281" s="38">
        <f>IF(AND(PCdb[[#This Row],[BCD]]&gt;UIoptions!$S$10,PCdb[[#This Row],[BCD]]&lt;UIoptions!$T$10),1,0)</f>
        <v>1</v>
      </c>
      <c r="BC281" s="38">
        <f>IF(AND(PCdb[[#This Row],[PD]]&gt;UIoptions!$S$11,PCdb[[#This Row],[PD]]&lt;UIoptions!$T$11),1,0)</f>
        <v>1</v>
      </c>
      <c r="BD281" s="38">
        <f>IF(AND(UIoptions!$P$14&lt;=PCdb[[#This Row],[PL (MAX)]],UIoptions!$P$14&gt;UIoptions!$S$14),1,0)</f>
        <v>1</v>
      </c>
      <c r="BE281" s="38">
        <f>IF(AND(PCdb[[#This Row],[SD]]&gt;UIoptions!$S$12,PCdb[[#This Row],[SD]]&lt;UIoptions!$T$12),1,0)</f>
        <v>1</v>
      </c>
      <c r="BF281" s="38">
        <f>IF(AND(PCdb[[#This Row],[SL]]&gt;UIoptions!$S$13,PCdb[[#This Row],[SL]]&lt;UIoptions!$T$13),1,0)</f>
        <v>1</v>
      </c>
      <c r="BG281" s="38">
        <f>IF(UIoptions!$N$35=1,IF(AND(PCdb[[#This Row],[SQ_SZ]]&gt;UIoptions!$S$15,PCdb[[#This Row],[SQ_SZ]]&lt;UIoptions!$T$15),1,0),1)</f>
        <v>0</v>
      </c>
      <c r="BH281" s="38">
        <f>IF(UIoptions!$N$35=2,IF(AND(PCdb[[#This Row],[ROUND_D]]&gt;UIoptions!$S$15,PCdb[[#This Row],[ROUND_D]]&lt;UIoptions!$T$15),1,0),1)</f>
        <v>1</v>
      </c>
      <c r="BI281" s="38">
        <f>IF(UIoptions!$N$75&lt;&gt;1,1,IF(AND(PCdb[[#This Row],[FL]]&gt;UIoptions!$S$16,PCdb[[#This Row],[FL]]&lt;UIoptions!$T$16),1,0))</f>
        <v>0</v>
      </c>
      <c r="BJ281" s="38" t="e">
        <f>IF(OR(UIoptions!$Q$18=PCdb[[#This Row],[THRU_SCREW]],UIoptions!$Q$18="NA"),1,0)</f>
        <v>#N/A</v>
      </c>
      <c r="BK281" s="38">
        <f>IF(OR(UIoptions!$P$19=PCdb[[#This Row],[THREAD_SZ]],UIoptions!$P$19="NA"),1,0)</f>
        <v>1</v>
      </c>
      <c r="BL281" s="38">
        <f>IF(UIoptions!$N$75=1,1,IF(AND(PCdb[[#This Row],[THREAD_L]]&gt;UIoptions!$S$17,PCdb[[#This Row],[THREAD_L]]&lt;UIoptions!$T$17),1,0))</f>
        <v>1</v>
      </c>
      <c r="BM281" s="38" t="e">
        <f>IF(SUM(PCdb[[#This Row],[BDhit]:[THREAD_Lhit]])=11,1,0)</f>
        <v>#N/A</v>
      </c>
      <c r="BN28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756041123NA90NANAM5114</v>
      </c>
      <c r="BO281" s="38" t="e">
        <f>SUM(PCdb[[#This Row],[BDhit]:[THREAD_Lhit]])</f>
        <v>#N/A</v>
      </c>
    </row>
    <row r="282" spans="1:67" x14ac:dyDescent="0.25">
      <c r="A282" s="7">
        <v>289</v>
      </c>
      <c r="B282" s="93">
        <v>43.8</v>
      </c>
      <c r="C282" s="93">
        <v>22</v>
      </c>
      <c r="D282" s="93">
        <v>4</v>
      </c>
      <c r="E282" s="93">
        <v>6.35</v>
      </c>
      <c r="F282" s="93">
        <v>27</v>
      </c>
      <c r="G282" s="93">
        <v>42</v>
      </c>
      <c r="H282" s="93" t="s">
        <v>87</v>
      </c>
      <c r="I282" s="93">
        <v>5</v>
      </c>
      <c r="J282" s="93" t="s">
        <v>7</v>
      </c>
      <c r="K282" s="93" t="s">
        <v>87</v>
      </c>
      <c r="L282" s="93" t="s">
        <v>87</v>
      </c>
      <c r="M282" s="93">
        <v>4</v>
      </c>
      <c r="N282" s="38" t="s">
        <v>7</v>
      </c>
      <c r="O282" s="25">
        <v>36.200000000000003</v>
      </c>
      <c r="P282" s="38">
        <v>11.7</v>
      </c>
      <c r="Q282" s="38" t="s">
        <v>87</v>
      </c>
      <c r="R282" s="38" t="s">
        <v>130</v>
      </c>
      <c r="S282" s="38" t="s">
        <v>171</v>
      </c>
      <c r="T282" s="38">
        <v>45</v>
      </c>
      <c r="U282" s="38">
        <v>90</v>
      </c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>
        <f>IF(AND(PCdb[[#This Row],[BCD]]&gt;UIoptions!$S$10,PCdb[[#This Row],[BCD]]&lt;UIoptions!$T$10),1,0)</f>
        <v>0</v>
      </c>
      <c r="BC282" s="38">
        <f>IF(AND(PCdb[[#This Row],[PD]]&gt;UIoptions!$S$11,PCdb[[#This Row],[PD]]&lt;UIoptions!$T$11),1,0)</f>
        <v>0</v>
      </c>
      <c r="BD282" s="38">
        <f>IF(AND(UIoptions!$P$14&lt;=PCdb[[#This Row],[PL (MAX)]],UIoptions!$P$14&gt;UIoptions!$S$14),1,0)</f>
        <v>1</v>
      </c>
      <c r="BE282" s="38">
        <f>IF(AND(PCdb[[#This Row],[SD]]&gt;UIoptions!$S$12,PCdb[[#This Row],[SD]]&lt;UIoptions!$T$12),1,0)</f>
        <v>0</v>
      </c>
      <c r="BF282" s="38">
        <f>IF(AND(PCdb[[#This Row],[SL]]&gt;UIoptions!$S$13,PCdb[[#This Row],[SL]]&lt;UIoptions!$T$13),1,0)</f>
        <v>0</v>
      </c>
      <c r="BG282" s="38">
        <f>IF(UIoptions!$N$35=1,IF(AND(PCdb[[#This Row],[SQ_SZ]]&gt;UIoptions!$S$15,PCdb[[#This Row],[SQ_SZ]]&lt;UIoptions!$T$15),1,0),1)</f>
        <v>0</v>
      </c>
      <c r="BH282" s="38">
        <f>IF(UIoptions!$N$35=2,IF(AND(PCdb[[#This Row],[ROUND_D]]&gt;UIoptions!$S$15,PCdb[[#This Row],[ROUND_D]]&lt;UIoptions!$T$15),1,0),1)</f>
        <v>1</v>
      </c>
      <c r="BI282" s="38">
        <f>IF(UIoptions!$N$75&lt;&gt;1,1,IF(AND(PCdb[[#This Row],[FL]]&gt;UIoptions!$S$16,PCdb[[#This Row],[FL]]&lt;UIoptions!$T$16),1,0))</f>
        <v>0</v>
      </c>
      <c r="BJ282" s="38" t="e">
        <f>IF(OR(UIoptions!$Q$18=PCdb[[#This Row],[THRU_SCREW]],UIoptions!$Q$18="NA"),1,0)</f>
        <v>#N/A</v>
      </c>
      <c r="BK282" s="38">
        <f>IF(OR(UIoptions!$P$19=PCdb[[#This Row],[THREAD_SZ]],UIoptions!$P$19="NA"),1,0)</f>
        <v>1</v>
      </c>
      <c r="BL282" s="38">
        <f>IF(UIoptions!$N$75=1,1,IF(AND(PCdb[[#This Row],[THREAD_L]]&gt;UIoptions!$S$17,PCdb[[#This Row],[THREAD_L]]&lt;UIoptions!$T$17),1,0))</f>
        <v>1</v>
      </c>
      <c r="BM282" s="38" t="e">
        <f>IF(SUM(PCdb[[#This Row],[BDhit]:[THREAD_Lhit]])=11,1,0)</f>
        <v>#N/A</v>
      </c>
      <c r="BN28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43.82246.352742NA5M4NANA4</v>
      </c>
      <c r="BO282" s="38" t="e">
        <f>SUM(PCdb[[#This Row],[BDhit]:[THREAD_Lhit]])</f>
        <v>#N/A</v>
      </c>
    </row>
    <row r="283" spans="1:67" x14ac:dyDescent="0.25">
      <c r="A283" s="7">
        <v>290</v>
      </c>
      <c r="B283" s="93">
        <v>70</v>
      </c>
      <c r="C283" s="93">
        <v>50</v>
      </c>
      <c r="D283" s="93">
        <v>7</v>
      </c>
      <c r="E283" s="93">
        <v>16</v>
      </c>
      <c r="F283" s="93">
        <v>37</v>
      </c>
      <c r="G283" s="93">
        <v>60</v>
      </c>
      <c r="H283" s="93" t="s">
        <v>87</v>
      </c>
      <c r="I283" s="93">
        <v>8</v>
      </c>
      <c r="J283" s="93" t="s">
        <v>45</v>
      </c>
      <c r="K283" s="93" t="s">
        <v>87</v>
      </c>
      <c r="L283" s="93" t="s">
        <v>87</v>
      </c>
      <c r="M283" s="93">
        <v>4</v>
      </c>
      <c r="N283" s="38" t="s">
        <v>45</v>
      </c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 t="s">
        <v>87</v>
      </c>
      <c r="AW283" s="38" t="s">
        <v>87</v>
      </c>
      <c r="AX283" s="38" t="s">
        <v>130</v>
      </c>
      <c r="AY283" s="34" t="s">
        <v>709</v>
      </c>
      <c r="AZ283" s="38">
        <v>45</v>
      </c>
      <c r="BA283" s="38">
        <v>90</v>
      </c>
      <c r="BB283" s="38">
        <f>IF(AND(PCdb[[#This Row],[BCD]]&gt;UIoptions!$S$10,PCdb[[#This Row],[BCD]]&lt;UIoptions!$T$10),1,0)</f>
        <v>0</v>
      </c>
      <c r="BC283" s="38">
        <f>IF(AND(PCdb[[#This Row],[PD]]&gt;UIoptions!$S$11,PCdb[[#This Row],[PD]]&lt;UIoptions!$T$11),1,0)</f>
        <v>0</v>
      </c>
      <c r="BD283" s="38">
        <f>IF(AND(UIoptions!$P$14&lt;=PCdb[[#This Row],[PL (MAX)]],UIoptions!$P$14&gt;UIoptions!$S$14),1,0)</f>
        <v>1</v>
      </c>
      <c r="BE283" s="38">
        <f>IF(AND(PCdb[[#This Row],[SD]]&gt;UIoptions!$S$12,PCdb[[#This Row],[SD]]&lt;UIoptions!$T$12),1,0)</f>
        <v>0</v>
      </c>
      <c r="BF283" s="38">
        <f>IF(AND(PCdb[[#This Row],[SL]]&gt;UIoptions!$S$13,PCdb[[#This Row],[SL]]&lt;UIoptions!$T$13),1,0)</f>
        <v>0</v>
      </c>
      <c r="BG283" s="38">
        <f>IF(UIoptions!$N$35=1,IF(AND(PCdb[[#This Row],[SQ_SZ]]&gt;UIoptions!$S$15,PCdb[[#This Row],[SQ_SZ]]&lt;UIoptions!$T$15),1,0),1)</f>
        <v>0</v>
      </c>
      <c r="BH283" s="38">
        <f>IF(UIoptions!$N$35=2,IF(AND(PCdb[[#This Row],[ROUND_D]]&gt;UIoptions!$S$15,PCdb[[#This Row],[ROUND_D]]&lt;UIoptions!$T$15),1,0),1)</f>
        <v>1</v>
      </c>
      <c r="BI283" s="38">
        <f>IF(UIoptions!$N$75&lt;&gt;1,1,IF(AND(PCdb[[#This Row],[FL]]&gt;UIoptions!$S$16,PCdb[[#This Row],[FL]]&lt;UIoptions!$T$16),1,0))</f>
        <v>0</v>
      </c>
      <c r="BJ283" s="38" t="e">
        <f>IF(OR(UIoptions!$Q$18=PCdb[[#This Row],[THRU_SCREW]],UIoptions!$Q$18="NA"),1,0)</f>
        <v>#N/A</v>
      </c>
      <c r="BK283" s="38">
        <f>IF(OR(UIoptions!$P$19=PCdb[[#This Row],[THREAD_SZ]],UIoptions!$P$19="NA"),1,0)</f>
        <v>1</v>
      </c>
      <c r="BL283" s="38">
        <f>IF(UIoptions!$N$75=1,1,IF(AND(PCdb[[#This Row],[THREAD_L]]&gt;UIoptions!$S$17,PCdb[[#This Row],[THREAD_L]]&lt;UIoptions!$T$17),1,0))</f>
        <v>1</v>
      </c>
      <c r="BM283" s="38" t="e">
        <f>IF(SUM(PCdb[[#This Row],[BDhit]:[THREAD_Lhit]])=11,1,0)</f>
        <v>#N/A</v>
      </c>
      <c r="BN28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70507163760NA8M5NANA4</v>
      </c>
      <c r="BO283" s="38" t="e">
        <f>SUM(PCdb[[#This Row],[BDhit]:[THREAD_Lhit]])</f>
        <v>#N/A</v>
      </c>
    </row>
    <row r="284" spans="1:67" s="103" customFormat="1" x14ac:dyDescent="0.25">
      <c r="A284" s="7">
        <v>291</v>
      </c>
      <c r="B284" s="93">
        <v>90</v>
      </c>
      <c r="C284" s="93">
        <v>70</v>
      </c>
      <c r="D284" s="93">
        <v>4</v>
      </c>
      <c r="E284" s="93">
        <v>16</v>
      </c>
      <c r="F284" s="93">
        <v>35</v>
      </c>
      <c r="G284" s="93">
        <v>80</v>
      </c>
      <c r="H284" s="93" t="s">
        <v>87</v>
      </c>
      <c r="I284" s="93">
        <v>8</v>
      </c>
      <c r="J284" s="93" t="s">
        <v>45</v>
      </c>
      <c r="K284" s="93" t="s">
        <v>87</v>
      </c>
      <c r="L284" s="93" t="s">
        <v>87</v>
      </c>
      <c r="M284" s="93">
        <v>4</v>
      </c>
      <c r="N284" s="38" t="s">
        <v>45</v>
      </c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>
        <v>37</v>
      </c>
      <c r="AW284" s="38" t="s">
        <v>87</v>
      </c>
      <c r="AX284" s="38" t="s">
        <v>130</v>
      </c>
      <c r="AY284" s="34" t="s">
        <v>177</v>
      </c>
      <c r="AZ284" s="38">
        <v>45</v>
      </c>
      <c r="BA284" s="38">
        <v>90</v>
      </c>
      <c r="BB284" s="38">
        <f>IF(AND(PCdb[[#This Row],[BCD]]&gt;UIoptions!$S$10,PCdb[[#This Row],[BCD]]&lt;UIoptions!$T$10),1,0)</f>
        <v>0</v>
      </c>
      <c r="BC284" s="38">
        <f>IF(AND(PCdb[[#This Row],[PD]]&gt;UIoptions!$S$11,PCdb[[#This Row],[PD]]&lt;UIoptions!$T$11),1,0)</f>
        <v>0</v>
      </c>
      <c r="BD284" s="38">
        <f>IF(AND(UIoptions!$P$14&lt;=PCdb[[#This Row],[PL (MAX)]],UIoptions!$P$14&gt;UIoptions!$S$14),1,0)</f>
        <v>1</v>
      </c>
      <c r="BE284" s="38">
        <f>IF(AND(PCdb[[#This Row],[SD]]&gt;UIoptions!$S$12,PCdb[[#This Row],[SD]]&lt;UIoptions!$T$12),1,0)</f>
        <v>0</v>
      </c>
      <c r="BF284" s="38">
        <f>IF(AND(PCdb[[#This Row],[SL]]&gt;UIoptions!$S$13,PCdb[[#This Row],[SL]]&lt;UIoptions!$T$13),1,0)</f>
        <v>0</v>
      </c>
      <c r="BG284" s="38">
        <f>IF(UIoptions!$N$35=1,IF(AND(PCdb[[#This Row],[SQ_SZ]]&gt;UIoptions!$S$15,PCdb[[#This Row],[SQ_SZ]]&lt;UIoptions!$T$15),1,0),1)</f>
        <v>0</v>
      </c>
      <c r="BH284" s="38">
        <f>IF(UIoptions!$N$35=2,IF(AND(PCdb[[#This Row],[ROUND_D]]&gt;UIoptions!$S$15,PCdb[[#This Row],[ROUND_D]]&lt;UIoptions!$T$15),1,0),1)</f>
        <v>1</v>
      </c>
      <c r="BI284" s="38">
        <f>IF(UIoptions!$N$75&lt;&gt;1,1,IF(AND(PCdb[[#This Row],[FL]]&gt;UIoptions!$S$16,PCdb[[#This Row],[FL]]&lt;UIoptions!$T$16),1,0))</f>
        <v>0</v>
      </c>
      <c r="BJ284" s="38" t="e">
        <f>IF(OR(UIoptions!$Q$18=PCdb[[#This Row],[THRU_SCREW]],UIoptions!$Q$18="NA"),1,0)</f>
        <v>#N/A</v>
      </c>
      <c r="BK284" s="38">
        <f>IF(OR(UIoptions!$P$19=PCdb[[#This Row],[THREAD_SZ]],UIoptions!$P$19="NA"),1,0)</f>
        <v>1</v>
      </c>
      <c r="BL284" s="38">
        <f>IF(UIoptions!$N$75=1,1,IF(AND(PCdb[[#This Row],[THREAD_L]]&gt;UIoptions!$S$17,PCdb[[#This Row],[THREAD_L]]&lt;UIoptions!$T$17),1,0))</f>
        <v>1</v>
      </c>
      <c r="BM284" s="38" t="e">
        <f>IF(SUM(PCdb[[#This Row],[BDhit]:[THREAD_Lhit]])=11,1,0)</f>
        <v>#N/A</v>
      </c>
      <c r="BN28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90704163580NA8M5NANA4</v>
      </c>
      <c r="BO284" s="38" t="e">
        <f>SUM(PCdb[[#This Row],[BDhit]:[THREAD_Lhit]])</f>
        <v>#N/A</v>
      </c>
    </row>
    <row r="285" spans="1:67" s="103" customFormat="1" x14ac:dyDescent="0.25">
      <c r="A285" s="7">
        <v>292</v>
      </c>
      <c r="B285" s="93">
        <v>66.7</v>
      </c>
      <c r="C285" s="93">
        <v>38.1</v>
      </c>
      <c r="D285" s="93">
        <v>4</v>
      </c>
      <c r="E285" s="93">
        <v>8</v>
      </c>
      <c r="F285" s="93">
        <v>20.6</v>
      </c>
      <c r="G285" s="93">
        <v>56.6</v>
      </c>
      <c r="H285" s="93" t="s">
        <v>87</v>
      </c>
      <c r="I285" s="93">
        <v>4.5</v>
      </c>
      <c r="J285" s="93" t="s">
        <v>7</v>
      </c>
      <c r="K285" s="93" t="s">
        <v>87</v>
      </c>
      <c r="L285" s="93" t="s">
        <v>87</v>
      </c>
      <c r="M285" s="93">
        <v>4</v>
      </c>
      <c r="N285" s="38" t="s">
        <v>7</v>
      </c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>
        <v>22</v>
      </c>
      <c r="AK285" s="38" t="s">
        <v>87</v>
      </c>
      <c r="AL285" s="38" t="s">
        <v>130</v>
      </c>
      <c r="AM285" s="38" t="s">
        <v>177</v>
      </c>
      <c r="AN285" s="38">
        <v>45</v>
      </c>
      <c r="AO285" s="38">
        <v>90</v>
      </c>
      <c r="AP285" s="38">
        <v>22</v>
      </c>
      <c r="AQ285" s="38" t="s">
        <v>87</v>
      </c>
      <c r="AR285" s="38" t="s">
        <v>130</v>
      </c>
      <c r="AS285" s="38" t="s">
        <v>176</v>
      </c>
      <c r="AT285" s="38">
        <v>45</v>
      </c>
      <c r="AU285" s="38">
        <v>90</v>
      </c>
      <c r="AV285" s="38"/>
      <c r="AW285" s="38"/>
      <c r="AX285" s="38"/>
      <c r="AY285" s="34"/>
      <c r="AZ285" s="38"/>
      <c r="BA285" s="38"/>
      <c r="BB285" s="38">
        <f>IF(AND(PCdb[[#This Row],[BCD]]&gt;UIoptions!$S$10,PCdb[[#This Row],[BCD]]&lt;UIoptions!$T$10),1,0)</f>
        <v>0</v>
      </c>
      <c r="BC285" s="38">
        <f>IF(AND(PCdb[[#This Row],[PD]]&gt;UIoptions!$S$11,PCdb[[#This Row],[PD]]&lt;UIoptions!$T$11),1,0)</f>
        <v>0</v>
      </c>
      <c r="BD285" s="38">
        <f>IF(AND(UIoptions!$P$14&lt;=PCdb[[#This Row],[PL (MAX)]],UIoptions!$P$14&gt;UIoptions!$S$14),1,0)</f>
        <v>1</v>
      </c>
      <c r="BE285" s="38">
        <f>IF(AND(PCdb[[#This Row],[SD]]&gt;UIoptions!$S$12,PCdb[[#This Row],[SD]]&lt;UIoptions!$T$12),1,0)</f>
        <v>0</v>
      </c>
      <c r="BF285" s="38">
        <f>IF(AND(PCdb[[#This Row],[SL]]&gt;UIoptions!$S$13,PCdb[[#This Row],[SL]]&lt;UIoptions!$T$13),1,0)</f>
        <v>0</v>
      </c>
      <c r="BG285" s="38">
        <f>IF(UIoptions!$N$35=1,IF(AND(PCdb[[#This Row],[SQ_SZ]]&gt;UIoptions!$S$15,PCdb[[#This Row],[SQ_SZ]]&lt;UIoptions!$T$15),1,0),1)</f>
        <v>0</v>
      </c>
      <c r="BH285" s="38">
        <f>IF(UIoptions!$N$35=2,IF(AND(PCdb[[#This Row],[ROUND_D]]&gt;UIoptions!$S$15,PCdb[[#This Row],[ROUND_D]]&lt;UIoptions!$T$15),1,0),1)</f>
        <v>1</v>
      </c>
      <c r="BI285" s="38">
        <f>IF(UIoptions!$N$75&lt;&gt;1,1,IF(AND(PCdb[[#This Row],[FL]]&gt;UIoptions!$S$16,PCdb[[#This Row],[FL]]&lt;UIoptions!$T$16),1,0))</f>
        <v>0</v>
      </c>
      <c r="BJ285" s="38" t="e">
        <f>IF(OR(UIoptions!$Q$18=PCdb[[#This Row],[THRU_SCREW]],UIoptions!$Q$18="NA"),1,0)</f>
        <v>#N/A</v>
      </c>
      <c r="BK285" s="38">
        <f>IF(OR(UIoptions!$P$19=PCdb[[#This Row],[THREAD_SZ]],UIoptions!$P$19="NA"),1,0)</f>
        <v>1</v>
      </c>
      <c r="BL285" s="38">
        <f>IF(UIoptions!$N$75=1,1,IF(AND(PCdb[[#This Row],[THREAD_L]]&gt;UIoptions!$S$17,PCdb[[#This Row],[THREAD_L]]&lt;UIoptions!$T$17),1,0))</f>
        <v>1</v>
      </c>
      <c r="BM285" s="38" t="e">
        <f>IF(SUM(PCdb[[#This Row],[BDhit]:[THREAD_Lhit]])=11,1,0)</f>
        <v>#N/A</v>
      </c>
      <c r="BN28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66.738.14820.656.6NA4.5M4NANA4</v>
      </c>
      <c r="BO285" s="38" t="e">
        <f>SUM(PCdb[[#This Row],[BDhit]:[THREAD_Lhit]])</f>
        <v>#N/A</v>
      </c>
    </row>
    <row r="286" spans="1:67" s="103" customFormat="1" x14ac:dyDescent="0.25">
      <c r="A286" s="7">
        <v>293</v>
      </c>
      <c r="B286" s="93">
        <v>63</v>
      </c>
      <c r="C286" s="93">
        <v>40</v>
      </c>
      <c r="D286" s="93">
        <v>4</v>
      </c>
      <c r="E286" s="93">
        <v>11</v>
      </c>
      <c r="F286" s="93">
        <v>25</v>
      </c>
      <c r="G286" s="93">
        <v>56</v>
      </c>
      <c r="H286" s="93" t="s">
        <v>87</v>
      </c>
      <c r="I286" s="93">
        <v>18</v>
      </c>
      <c r="J286" s="93" t="s">
        <v>45</v>
      </c>
      <c r="K286" s="93" t="s">
        <v>87</v>
      </c>
      <c r="L286" s="93" t="s">
        <v>87</v>
      </c>
      <c r="M286" s="93">
        <v>4</v>
      </c>
      <c r="N286" s="38" t="s">
        <v>45</v>
      </c>
      <c r="O286" s="25">
        <v>38.700000000000003</v>
      </c>
      <c r="P286" s="38">
        <v>22</v>
      </c>
      <c r="Q286" s="38" t="s">
        <v>87</v>
      </c>
      <c r="R286" s="38" t="s">
        <v>130</v>
      </c>
      <c r="S286" s="38" t="s">
        <v>172</v>
      </c>
      <c r="T286" s="38">
        <v>45</v>
      </c>
      <c r="U286" s="38">
        <v>90</v>
      </c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4"/>
      <c r="AZ286" s="38"/>
      <c r="BA286" s="38"/>
      <c r="BB286" s="38">
        <f>IF(AND(PCdb[[#This Row],[BCD]]&gt;UIoptions!$S$10,PCdb[[#This Row],[BCD]]&lt;UIoptions!$T$10),1,0)</f>
        <v>0</v>
      </c>
      <c r="BC286" s="38">
        <f>IF(AND(PCdb[[#This Row],[PD]]&gt;UIoptions!$S$11,PCdb[[#This Row],[PD]]&lt;UIoptions!$T$11),1,0)</f>
        <v>0</v>
      </c>
      <c r="BD286" s="38">
        <f>IF(AND(UIoptions!$P$14&lt;=PCdb[[#This Row],[PL (MAX)]],UIoptions!$P$14&gt;UIoptions!$S$14),1,0)</f>
        <v>1</v>
      </c>
      <c r="BE286" s="38">
        <f>IF(AND(PCdb[[#This Row],[SD]]&gt;UIoptions!$S$12,PCdb[[#This Row],[SD]]&lt;UIoptions!$T$12),1,0)</f>
        <v>1</v>
      </c>
      <c r="BF286" s="38">
        <f>IF(AND(PCdb[[#This Row],[SL]]&gt;UIoptions!$S$13,PCdb[[#This Row],[SL]]&lt;UIoptions!$T$13),1,0)</f>
        <v>0</v>
      </c>
      <c r="BG286" s="38">
        <f>IF(UIoptions!$N$35=1,IF(AND(PCdb[[#This Row],[SQ_SZ]]&gt;UIoptions!$S$15,PCdb[[#This Row],[SQ_SZ]]&lt;UIoptions!$T$15),1,0),1)</f>
        <v>0</v>
      </c>
      <c r="BH286" s="38">
        <f>IF(UIoptions!$N$35=2,IF(AND(PCdb[[#This Row],[ROUND_D]]&gt;UIoptions!$S$15,PCdb[[#This Row],[ROUND_D]]&lt;UIoptions!$T$15),1,0),1)</f>
        <v>1</v>
      </c>
      <c r="BI286" s="38">
        <f>IF(UIoptions!$N$75&lt;&gt;1,1,IF(AND(PCdb[[#This Row],[FL]]&gt;UIoptions!$S$16,PCdb[[#This Row],[FL]]&lt;UIoptions!$T$16),1,0))</f>
        <v>0</v>
      </c>
      <c r="BJ286" s="38" t="e">
        <f>IF(OR(UIoptions!$Q$18=PCdb[[#This Row],[THRU_SCREW]],UIoptions!$Q$18="NA"),1,0)</f>
        <v>#N/A</v>
      </c>
      <c r="BK286" s="38">
        <f>IF(OR(UIoptions!$P$19=PCdb[[#This Row],[THREAD_SZ]],UIoptions!$P$19="NA"),1,0)</f>
        <v>1</v>
      </c>
      <c r="BL286" s="38">
        <f>IF(UIoptions!$N$75=1,1,IF(AND(PCdb[[#This Row],[THREAD_L]]&gt;UIoptions!$S$17,PCdb[[#This Row],[THREAD_L]]&lt;UIoptions!$T$17),1,0))</f>
        <v>1</v>
      </c>
      <c r="BM286" s="38" t="e">
        <f>IF(SUM(PCdb[[#This Row],[BDhit]:[THREAD_Lhit]])=11,1,0)</f>
        <v>#N/A</v>
      </c>
      <c r="BN28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63404112556NA18M5NANA4</v>
      </c>
      <c r="BO286" s="38" t="e">
        <f>SUM(PCdb[[#This Row],[BDhit]:[THREAD_Lhit]])</f>
        <v>#N/A</v>
      </c>
    </row>
    <row r="287" spans="1:67" s="103" customFormat="1" x14ac:dyDescent="0.25">
      <c r="A287" s="7">
        <v>294</v>
      </c>
      <c r="B287" s="93">
        <v>66.5</v>
      </c>
      <c r="C287" s="93">
        <v>38.1</v>
      </c>
      <c r="D287" s="93">
        <v>4</v>
      </c>
      <c r="E287" s="93">
        <v>6.35</v>
      </c>
      <c r="F287" s="93">
        <v>21</v>
      </c>
      <c r="G287" s="93">
        <v>56.5</v>
      </c>
      <c r="H287" s="93" t="s">
        <v>87</v>
      </c>
      <c r="I287" s="93">
        <v>5</v>
      </c>
      <c r="J287" s="93" t="s">
        <v>45</v>
      </c>
      <c r="K287" s="93" t="s">
        <v>87</v>
      </c>
      <c r="L287" s="93" t="s">
        <v>87</v>
      </c>
      <c r="M287" s="93">
        <v>4</v>
      </c>
      <c r="N287" s="38" t="s">
        <v>45</v>
      </c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>
        <v>22</v>
      </c>
      <c r="AK287" s="38" t="s">
        <v>87</v>
      </c>
      <c r="AL287" s="177" t="s">
        <v>130</v>
      </c>
      <c r="AM287" s="38" t="s">
        <v>177</v>
      </c>
      <c r="AN287" s="38">
        <v>45</v>
      </c>
      <c r="AO287" s="38">
        <v>90</v>
      </c>
      <c r="AP287" s="38">
        <v>23</v>
      </c>
      <c r="AQ287" s="38" t="s">
        <v>87</v>
      </c>
      <c r="AR287" s="38" t="s">
        <v>130</v>
      </c>
      <c r="AS287" s="38" t="s">
        <v>176</v>
      </c>
      <c r="AT287" s="38">
        <v>45</v>
      </c>
      <c r="AU287" s="38">
        <v>90</v>
      </c>
      <c r="AV287" s="38"/>
      <c r="AW287" s="38"/>
      <c r="AX287" s="38"/>
      <c r="AY287" s="34"/>
      <c r="AZ287" s="38"/>
      <c r="BA287" s="38"/>
      <c r="BB287" s="38">
        <f>IF(AND(PCdb[[#This Row],[BCD]]&gt;UIoptions!$S$10,PCdb[[#This Row],[BCD]]&lt;UIoptions!$T$10),1,0)</f>
        <v>0</v>
      </c>
      <c r="BC287" s="38">
        <f>IF(AND(PCdb[[#This Row],[PD]]&gt;UIoptions!$S$11,PCdb[[#This Row],[PD]]&lt;UIoptions!$T$11),1,0)</f>
        <v>0</v>
      </c>
      <c r="BD287" s="38">
        <f>IF(AND(UIoptions!$P$14&lt;=PCdb[[#This Row],[PL (MAX)]],UIoptions!$P$14&gt;UIoptions!$S$14),1,0)</f>
        <v>1</v>
      </c>
      <c r="BE287" s="38">
        <f>IF(AND(PCdb[[#This Row],[SD]]&gt;UIoptions!$S$12,PCdb[[#This Row],[SD]]&lt;UIoptions!$T$12),1,0)</f>
        <v>0</v>
      </c>
      <c r="BF287" s="38">
        <f>IF(AND(PCdb[[#This Row],[SL]]&gt;UIoptions!$S$13,PCdb[[#This Row],[SL]]&lt;UIoptions!$T$13),1,0)</f>
        <v>0</v>
      </c>
      <c r="BG287" s="38">
        <f>IF(UIoptions!$N$35=1,IF(AND(PCdb[[#This Row],[SQ_SZ]]&gt;UIoptions!$S$15,PCdb[[#This Row],[SQ_SZ]]&lt;UIoptions!$T$15),1,0),1)</f>
        <v>0</v>
      </c>
      <c r="BH287" s="38">
        <f>IF(UIoptions!$N$35=2,IF(AND(PCdb[[#This Row],[ROUND_D]]&gt;UIoptions!$S$15,PCdb[[#This Row],[ROUND_D]]&lt;UIoptions!$T$15),1,0),1)</f>
        <v>1</v>
      </c>
      <c r="BI287" s="38">
        <f>IF(UIoptions!$N$75&lt;&gt;1,1,IF(AND(PCdb[[#This Row],[FL]]&gt;UIoptions!$S$16,PCdb[[#This Row],[FL]]&lt;UIoptions!$T$16),1,0))</f>
        <v>0</v>
      </c>
      <c r="BJ287" s="38" t="e">
        <f>IF(OR(UIoptions!$Q$18=PCdb[[#This Row],[THRU_SCREW]],UIoptions!$Q$18="NA"),1,0)</f>
        <v>#N/A</v>
      </c>
      <c r="BK287" s="38">
        <f>IF(OR(UIoptions!$P$19=PCdb[[#This Row],[THREAD_SZ]],UIoptions!$P$19="NA"),1,0)</f>
        <v>1</v>
      </c>
      <c r="BL287" s="38">
        <f>IF(UIoptions!$N$75=1,1,IF(AND(PCdb[[#This Row],[THREAD_L]]&gt;UIoptions!$S$17,PCdb[[#This Row],[THREAD_L]]&lt;UIoptions!$T$17),1,0))</f>
        <v>1</v>
      </c>
      <c r="BM287" s="38" t="e">
        <f>IF(SUM(PCdb[[#This Row],[BDhit]:[THREAD_Lhit]])=11,1,0)</f>
        <v>#N/A</v>
      </c>
      <c r="BN28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66.538.146.352156.5NA5M5NANA4</v>
      </c>
      <c r="BO287" s="38" t="e">
        <f>SUM(PCdb[[#This Row],[BDhit]:[THREAD_Lhit]])</f>
        <v>#N/A</v>
      </c>
    </row>
    <row r="288" spans="1:67" s="103" customFormat="1" x14ac:dyDescent="0.25">
      <c r="A288" s="7">
        <v>295</v>
      </c>
      <c r="B288" s="93">
        <v>70</v>
      </c>
      <c r="C288" s="93">
        <v>50</v>
      </c>
      <c r="D288" s="93">
        <v>4</v>
      </c>
      <c r="E288" s="93">
        <v>14</v>
      </c>
      <c r="F288" s="93">
        <v>25</v>
      </c>
      <c r="G288" s="93">
        <v>60</v>
      </c>
      <c r="H288" s="93" t="s">
        <v>87</v>
      </c>
      <c r="I288" s="93">
        <v>6</v>
      </c>
      <c r="J288" s="93" t="s">
        <v>45</v>
      </c>
      <c r="K288" s="93" t="s">
        <v>87</v>
      </c>
      <c r="L288" s="93" t="s">
        <v>87</v>
      </c>
      <c r="M288" s="93">
        <v>4</v>
      </c>
      <c r="N288" s="38" t="s">
        <v>45</v>
      </c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>
        <v>27</v>
      </c>
      <c r="AQ288" s="38" t="s">
        <v>87</v>
      </c>
      <c r="AR288" s="38" t="s">
        <v>130</v>
      </c>
      <c r="AS288" s="38" t="s">
        <v>176</v>
      </c>
      <c r="AT288" s="38">
        <v>45</v>
      </c>
      <c r="AU288" s="38">
        <v>90</v>
      </c>
      <c r="AV288" s="38"/>
      <c r="AW288" s="38"/>
      <c r="AX288" s="38"/>
      <c r="AY288" s="34"/>
      <c r="AZ288" s="38"/>
      <c r="BA288" s="38"/>
      <c r="BB288" s="38">
        <f>IF(AND(PCdb[[#This Row],[BCD]]&gt;UIoptions!$S$10,PCdb[[#This Row],[BCD]]&lt;UIoptions!$T$10),1,0)</f>
        <v>0</v>
      </c>
      <c r="BC288" s="38">
        <f>IF(AND(PCdb[[#This Row],[PD]]&gt;UIoptions!$S$11,PCdb[[#This Row],[PD]]&lt;UIoptions!$T$11),1,0)</f>
        <v>0</v>
      </c>
      <c r="BD288" s="38">
        <f>IF(AND(UIoptions!$P$14&lt;=PCdb[[#This Row],[PL (MAX)]],UIoptions!$P$14&gt;UIoptions!$S$14),1,0)</f>
        <v>1</v>
      </c>
      <c r="BE288" s="38">
        <f>IF(AND(PCdb[[#This Row],[SD]]&gt;UIoptions!$S$12,PCdb[[#This Row],[SD]]&lt;UIoptions!$T$12),1,0)</f>
        <v>0</v>
      </c>
      <c r="BF288" s="38">
        <f>IF(AND(PCdb[[#This Row],[SL]]&gt;UIoptions!$S$13,PCdb[[#This Row],[SL]]&lt;UIoptions!$T$13),1,0)</f>
        <v>0</v>
      </c>
      <c r="BG288" s="38">
        <f>IF(UIoptions!$N$35=1,IF(AND(PCdb[[#This Row],[SQ_SZ]]&gt;UIoptions!$S$15,PCdb[[#This Row],[SQ_SZ]]&lt;UIoptions!$T$15),1,0),1)</f>
        <v>0</v>
      </c>
      <c r="BH288" s="38">
        <f>IF(UIoptions!$N$35=2,IF(AND(PCdb[[#This Row],[ROUND_D]]&gt;UIoptions!$S$15,PCdb[[#This Row],[ROUND_D]]&lt;UIoptions!$T$15),1,0),1)</f>
        <v>1</v>
      </c>
      <c r="BI288" s="38">
        <f>IF(UIoptions!$N$75&lt;&gt;1,1,IF(AND(PCdb[[#This Row],[FL]]&gt;UIoptions!$S$16,PCdb[[#This Row],[FL]]&lt;UIoptions!$T$16),1,0))</f>
        <v>0</v>
      </c>
      <c r="BJ288" s="38" t="e">
        <f>IF(OR(UIoptions!$Q$18=PCdb[[#This Row],[THRU_SCREW]],UIoptions!$Q$18="NA"),1,0)</f>
        <v>#N/A</v>
      </c>
      <c r="BK288" s="38">
        <f>IF(OR(UIoptions!$P$19=PCdb[[#This Row],[THREAD_SZ]],UIoptions!$P$19="NA"),1,0)</f>
        <v>1</v>
      </c>
      <c r="BL288" s="38">
        <f>IF(UIoptions!$N$75=1,1,IF(AND(PCdb[[#This Row],[THREAD_L]]&gt;UIoptions!$S$17,PCdb[[#This Row],[THREAD_L]]&lt;UIoptions!$T$17),1,0))</f>
        <v>1</v>
      </c>
      <c r="BM288" s="38" t="e">
        <f>IF(SUM(PCdb[[#This Row],[BDhit]:[THREAD_Lhit]])=11,1,0)</f>
        <v>#N/A</v>
      </c>
      <c r="BN28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70504142560NA6M5NANA4</v>
      </c>
      <c r="BO288" s="38" t="e">
        <f>SUM(PCdb[[#This Row],[BDhit]:[THREAD_Lhit]])</f>
        <v>#N/A</v>
      </c>
    </row>
    <row r="289" spans="1:67" s="103" customFormat="1" x14ac:dyDescent="0.25">
      <c r="A289" s="7">
        <v>296</v>
      </c>
      <c r="B289" s="93">
        <v>67</v>
      </c>
      <c r="C289" s="93">
        <v>38.1</v>
      </c>
      <c r="D289" s="93">
        <v>4</v>
      </c>
      <c r="E289" s="93">
        <v>8</v>
      </c>
      <c r="F289" s="93">
        <v>25</v>
      </c>
      <c r="G289" s="93">
        <v>57</v>
      </c>
      <c r="H289" s="93" t="s">
        <v>87</v>
      </c>
      <c r="I289" s="93">
        <v>4.5</v>
      </c>
      <c r="J289" s="93" t="s">
        <v>7</v>
      </c>
      <c r="K289" s="93" t="s">
        <v>87</v>
      </c>
      <c r="L289" s="93" t="s">
        <v>87</v>
      </c>
      <c r="M289" s="93">
        <v>4</v>
      </c>
      <c r="N289" s="38" t="s">
        <v>7</v>
      </c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>
        <v>22</v>
      </c>
      <c r="AK289" s="38" t="s">
        <v>87</v>
      </c>
      <c r="AL289" s="38" t="s">
        <v>130</v>
      </c>
      <c r="AM289" s="38" t="s">
        <v>177</v>
      </c>
      <c r="AN289" s="38">
        <v>45</v>
      </c>
      <c r="AO289" s="38">
        <v>90</v>
      </c>
      <c r="AP289" s="38"/>
      <c r="AQ289" s="38"/>
      <c r="AR289" s="38"/>
      <c r="AS289" s="38"/>
      <c r="AT289" s="38"/>
      <c r="AU289" s="38"/>
      <c r="AV289" s="38"/>
      <c r="AW289" s="38"/>
      <c r="AX289" s="38"/>
      <c r="AY289" s="34"/>
      <c r="AZ289" s="38"/>
      <c r="BA289" s="38"/>
      <c r="BB289" s="38">
        <f>IF(AND(PCdb[[#This Row],[BCD]]&gt;UIoptions!$S$10,PCdb[[#This Row],[BCD]]&lt;UIoptions!$T$10),1,0)</f>
        <v>0</v>
      </c>
      <c r="BC289" s="38">
        <f>IF(AND(PCdb[[#This Row],[PD]]&gt;UIoptions!$S$11,PCdb[[#This Row],[PD]]&lt;UIoptions!$T$11),1,0)</f>
        <v>0</v>
      </c>
      <c r="BD289" s="38">
        <f>IF(AND(UIoptions!$P$14&lt;=PCdb[[#This Row],[PL (MAX)]],UIoptions!$P$14&gt;UIoptions!$S$14),1,0)</f>
        <v>1</v>
      </c>
      <c r="BE289" s="38">
        <f>IF(AND(PCdb[[#This Row],[SD]]&gt;UIoptions!$S$12,PCdb[[#This Row],[SD]]&lt;UIoptions!$T$12),1,0)</f>
        <v>0</v>
      </c>
      <c r="BF289" s="38">
        <f>IF(AND(PCdb[[#This Row],[SL]]&gt;UIoptions!$S$13,PCdb[[#This Row],[SL]]&lt;UIoptions!$T$13),1,0)</f>
        <v>0</v>
      </c>
      <c r="BG289" s="38">
        <f>IF(UIoptions!$N$35=1,IF(AND(PCdb[[#This Row],[SQ_SZ]]&gt;UIoptions!$S$15,PCdb[[#This Row],[SQ_SZ]]&lt;UIoptions!$T$15),1,0),1)</f>
        <v>0</v>
      </c>
      <c r="BH289" s="38">
        <f>IF(UIoptions!$N$35=2,IF(AND(PCdb[[#This Row],[ROUND_D]]&gt;UIoptions!$S$15,PCdb[[#This Row],[ROUND_D]]&lt;UIoptions!$T$15),1,0),1)</f>
        <v>1</v>
      </c>
      <c r="BI289" s="38">
        <f>IF(UIoptions!$N$75&lt;&gt;1,1,IF(AND(PCdb[[#This Row],[FL]]&gt;UIoptions!$S$16,PCdb[[#This Row],[FL]]&lt;UIoptions!$T$16),1,0))</f>
        <v>0</v>
      </c>
      <c r="BJ289" s="38" t="e">
        <f>IF(OR(UIoptions!$Q$18=PCdb[[#This Row],[THRU_SCREW]],UIoptions!$Q$18="NA"),1,0)</f>
        <v>#N/A</v>
      </c>
      <c r="BK289" s="38">
        <f>IF(OR(UIoptions!$P$19=PCdb[[#This Row],[THREAD_SZ]],UIoptions!$P$19="NA"),1,0)</f>
        <v>1</v>
      </c>
      <c r="BL289" s="38">
        <f>IF(UIoptions!$N$75=1,1,IF(AND(PCdb[[#This Row],[THREAD_L]]&gt;UIoptions!$S$17,PCdb[[#This Row],[THREAD_L]]&lt;UIoptions!$T$17),1,0))</f>
        <v>1</v>
      </c>
      <c r="BM289" s="38" t="e">
        <f>IF(SUM(PCdb[[#This Row],[BDhit]:[THREAD_Lhit]])=11,1,0)</f>
        <v>#N/A</v>
      </c>
      <c r="BN28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6738.1482557NA4.5M4NANA4</v>
      </c>
      <c r="BO289" s="38" t="e">
        <f>SUM(PCdb[[#This Row],[BDhit]:[THREAD_Lhit]])</f>
        <v>#N/A</v>
      </c>
    </row>
    <row r="290" spans="1:67" s="103" customFormat="1" x14ac:dyDescent="0.25">
      <c r="A290" s="7">
        <v>297</v>
      </c>
      <c r="B290" s="93">
        <v>63</v>
      </c>
      <c r="C290" s="93">
        <v>40</v>
      </c>
      <c r="D290" s="93">
        <v>4</v>
      </c>
      <c r="E290" s="93">
        <v>9</v>
      </c>
      <c r="F290" s="93">
        <v>20</v>
      </c>
      <c r="G290" s="93">
        <v>58</v>
      </c>
      <c r="H290" s="93" t="s">
        <v>87</v>
      </c>
      <c r="I290" s="93">
        <v>7.5</v>
      </c>
      <c r="J290" s="93" t="s">
        <v>7</v>
      </c>
      <c r="K290" s="93" t="s">
        <v>87</v>
      </c>
      <c r="L290" s="93" t="s">
        <v>87</v>
      </c>
      <c r="M290" s="93">
        <v>4</v>
      </c>
      <c r="N290" s="38" t="s">
        <v>7</v>
      </c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>
        <v>24</v>
      </c>
      <c r="AK290" s="38">
        <v>0</v>
      </c>
      <c r="AL290" s="38" t="s">
        <v>130</v>
      </c>
      <c r="AM290" s="38" t="s">
        <v>177</v>
      </c>
      <c r="AN290" s="38">
        <v>45</v>
      </c>
      <c r="AO290" s="38">
        <v>90</v>
      </c>
      <c r="AP290" s="38"/>
      <c r="AQ290" s="38"/>
      <c r="AR290" s="38"/>
      <c r="AS290" s="38"/>
      <c r="AT290" s="38"/>
      <c r="AU290" s="38"/>
      <c r="AV290" s="38"/>
      <c r="AW290" s="38"/>
      <c r="AX290" s="38"/>
      <c r="AY290" s="34"/>
      <c r="AZ290" s="38"/>
      <c r="BA290" s="38"/>
      <c r="BB290" s="38">
        <f>IF(AND(PCdb[[#This Row],[BCD]]&gt;UIoptions!$S$10,PCdb[[#This Row],[BCD]]&lt;UIoptions!$T$10),1,0)</f>
        <v>0</v>
      </c>
      <c r="BC290" s="38">
        <f>IF(AND(PCdb[[#This Row],[PD]]&gt;UIoptions!$S$11,PCdb[[#This Row],[PD]]&lt;UIoptions!$T$11),1,0)</f>
        <v>0</v>
      </c>
      <c r="BD290" s="38">
        <f>IF(AND(UIoptions!$P$14&lt;=PCdb[[#This Row],[PL (MAX)]],UIoptions!$P$14&gt;UIoptions!$S$14),1,0)</f>
        <v>1</v>
      </c>
      <c r="BE290" s="38">
        <f>IF(AND(PCdb[[#This Row],[SD]]&gt;UIoptions!$S$12,PCdb[[#This Row],[SD]]&lt;UIoptions!$T$12),1,0)</f>
        <v>0</v>
      </c>
      <c r="BF290" s="38">
        <f>IF(AND(PCdb[[#This Row],[SL]]&gt;UIoptions!$S$13,PCdb[[#This Row],[SL]]&lt;UIoptions!$T$13),1,0)</f>
        <v>0</v>
      </c>
      <c r="BG290" s="38">
        <f>IF(UIoptions!$N$35=1,IF(AND(PCdb[[#This Row],[SQ_SZ]]&gt;UIoptions!$S$15,PCdb[[#This Row],[SQ_SZ]]&lt;UIoptions!$T$15),1,0),1)</f>
        <v>0</v>
      </c>
      <c r="BH290" s="38">
        <f>IF(UIoptions!$N$35=2,IF(AND(PCdb[[#This Row],[ROUND_D]]&gt;UIoptions!$S$15,PCdb[[#This Row],[ROUND_D]]&lt;UIoptions!$T$15),1,0),1)</f>
        <v>1</v>
      </c>
      <c r="BI290" s="38">
        <f>IF(UIoptions!$N$75&lt;&gt;1,1,IF(AND(PCdb[[#This Row],[FL]]&gt;UIoptions!$S$16,PCdb[[#This Row],[FL]]&lt;UIoptions!$T$16),1,0))</f>
        <v>0</v>
      </c>
      <c r="BJ290" s="38" t="e">
        <f>IF(OR(UIoptions!$Q$18=PCdb[[#This Row],[THRU_SCREW]],UIoptions!$Q$18="NA"),1,0)</f>
        <v>#N/A</v>
      </c>
      <c r="BK290" s="38">
        <f>IF(OR(UIoptions!$P$19=PCdb[[#This Row],[THREAD_SZ]],UIoptions!$P$19="NA"),1,0)</f>
        <v>1</v>
      </c>
      <c r="BL290" s="38">
        <f>IF(UIoptions!$N$75=1,1,IF(AND(PCdb[[#This Row],[THREAD_L]]&gt;UIoptions!$S$17,PCdb[[#This Row],[THREAD_L]]&lt;UIoptions!$T$17),1,0))</f>
        <v>1</v>
      </c>
      <c r="BM290" s="38" t="e">
        <f>IF(SUM(PCdb[[#This Row],[BDhit]:[THREAD_Lhit]])=11,1,0)</f>
        <v>#N/A</v>
      </c>
      <c r="BN29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6340492058NA7.5M4NANA4</v>
      </c>
      <c r="BO290" s="38" t="e">
        <f>SUM(PCdb[[#This Row],[BDhit]:[THREAD_Lhit]])</f>
        <v>#N/A</v>
      </c>
    </row>
    <row r="291" spans="1:67" s="103" customFormat="1" x14ac:dyDescent="0.25">
      <c r="A291" s="7">
        <v>298</v>
      </c>
      <c r="B291" s="93">
        <v>32</v>
      </c>
      <c r="C291" s="93">
        <v>22</v>
      </c>
      <c r="D291" s="93">
        <v>4</v>
      </c>
      <c r="E291" s="93">
        <v>5</v>
      </c>
      <c r="F291" s="93">
        <v>20</v>
      </c>
      <c r="G291" s="93" t="s">
        <v>87</v>
      </c>
      <c r="H291" s="93">
        <v>42</v>
      </c>
      <c r="I291" s="93" t="s">
        <v>87</v>
      </c>
      <c r="J291" s="93" t="s">
        <v>87</v>
      </c>
      <c r="K291" s="93" t="s">
        <v>105</v>
      </c>
      <c r="L291" s="93">
        <v>6.5</v>
      </c>
      <c r="M291" s="93">
        <v>4</v>
      </c>
      <c r="N291" s="38">
        <v>4</v>
      </c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 t="s">
        <v>87</v>
      </c>
      <c r="AK291" s="38" t="s">
        <v>87</v>
      </c>
      <c r="AL291" s="38" t="s">
        <v>130</v>
      </c>
      <c r="AM291" s="38" t="s">
        <v>280</v>
      </c>
      <c r="AN291" s="38">
        <v>45</v>
      </c>
      <c r="AO291" s="38">
        <v>90</v>
      </c>
      <c r="AP291" s="38"/>
      <c r="AQ291" s="38"/>
      <c r="AR291" s="38"/>
      <c r="AS291" s="38"/>
      <c r="AT291" s="38"/>
      <c r="AU291" s="38"/>
      <c r="AV291" s="38"/>
      <c r="AW291" s="38"/>
      <c r="AX291" s="38"/>
      <c r="AY291" s="34"/>
      <c r="AZ291" s="38"/>
      <c r="BA291" s="38"/>
      <c r="BB291" s="38">
        <f>IF(AND(PCdb[[#This Row],[BCD]]&gt;UIoptions!$S$10,PCdb[[#This Row],[BCD]]&lt;UIoptions!$T$10),1,0)</f>
        <v>0</v>
      </c>
      <c r="BC291" s="38">
        <f>IF(AND(PCdb[[#This Row],[PD]]&gt;UIoptions!$S$11,PCdb[[#This Row],[PD]]&lt;UIoptions!$T$11),1,0)</f>
        <v>0</v>
      </c>
      <c r="BD291" s="38">
        <f>IF(AND(UIoptions!$P$14&lt;=PCdb[[#This Row],[PL (MAX)]],UIoptions!$P$14&gt;UIoptions!$S$14),1,0)</f>
        <v>1</v>
      </c>
      <c r="BE291" s="38">
        <f>IF(AND(PCdb[[#This Row],[SD]]&gt;UIoptions!$S$12,PCdb[[#This Row],[SD]]&lt;UIoptions!$T$12),1,0)</f>
        <v>0</v>
      </c>
      <c r="BF291" s="38">
        <f>IF(AND(PCdb[[#This Row],[SL]]&gt;UIoptions!$S$13,PCdb[[#This Row],[SL]]&lt;UIoptions!$T$13),1,0)</f>
        <v>0</v>
      </c>
      <c r="BG291" s="38">
        <f>IF(UIoptions!$N$35=1,IF(AND(PCdb[[#This Row],[SQ_SZ]]&gt;UIoptions!$S$15,PCdb[[#This Row],[SQ_SZ]]&lt;UIoptions!$T$15),1,0),1)</f>
        <v>0</v>
      </c>
      <c r="BH291" s="38">
        <f>IF(UIoptions!$N$35=2,IF(AND(PCdb[[#This Row],[ROUND_D]]&gt;UIoptions!$S$15,PCdb[[#This Row],[ROUND_D]]&lt;UIoptions!$T$15),1,0),1)</f>
        <v>1</v>
      </c>
      <c r="BI291" s="38">
        <f>IF(UIoptions!$N$75&lt;&gt;1,1,IF(AND(PCdb[[#This Row],[FL]]&gt;UIoptions!$S$16,PCdb[[#This Row],[FL]]&lt;UIoptions!$T$16),1,0))</f>
        <v>0</v>
      </c>
      <c r="BJ291" s="38" t="e">
        <f>IF(OR(UIoptions!$Q$18=PCdb[[#This Row],[THRU_SCREW]],UIoptions!$Q$18="NA"),1,0)</f>
        <v>#N/A</v>
      </c>
      <c r="BK291" s="38">
        <f>IF(OR(UIoptions!$P$19=PCdb[[#This Row],[THREAD_SZ]],UIoptions!$P$19="NA"),1,0)</f>
        <v>1</v>
      </c>
      <c r="BL291" s="38">
        <f>IF(UIoptions!$N$75=1,1,IF(AND(PCdb[[#This Row],[THREAD_L]]&gt;UIoptions!$S$17,PCdb[[#This Row],[THREAD_L]]&lt;UIoptions!$T$17),1,0))</f>
        <v>1</v>
      </c>
      <c r="BM291" s="38" t="e">
        <f>IF(SUM(PCdb[[#This Row],[BDhit]:[THREAD_Lhit]])=11,1,0)</f>
        <v>#N/A</v>
      </c>
      <c r="BN29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32224520NA42NANAM36.54</v>
      </c>
      <c r="BO291" s="38" t="e">
        <f>SUM(PCdb[[#This Row],[BDhit]:[THREAD_Lhit]])</f>
        <v>#N/A</v>
      </c>
    </row>
    <row r="292" spans="1:67" s="103" customFormat="1" x14ac:dyDescent="0.25">
      <c r="A292" s="7">
        <v>299</v>
      </c>
      <c r="B292" s="93">
        <v>90</v>
      </c>
      <c r="C292" s="93">
        <v>50</v>
      </c>
      <c r="D292" s="93">
        <v>4</v>
      </c>
      <c r="E292" s="93">
        <v>12</v>
      </c>
      <c r="F292" s="93">
        <v>20.5</v>
      </c>
      <c r="G292" s="93">
        <v>80</v>
      </c>
      <c r="H292" s="93" t="s">
        <v>87</v>
      </c>
      <c r="I292" s="93">
        <v>4</v>
      </c>
      <c r="J292" s="93" t="s">
        <v>45</v>
      </c>
      <c r="K292" s="93" t="s">
        <v>87</v>
      </c>
      <c r="L292" s="93" t="s">
        <v>87</v>
      </c>
      <c r="M292" s="93">
        <v>4</v>
      </c>
      <c r="N292" s="38" t="s">
        <v>45</v>
      </c>
      <c r="O292" s="38"/>
      <c r="P292" s="38"/>
      <c r="Q292" s="38"/>
      <c r="R292" s="38"/>
      <c r="S292" s="38"/>
      <c r="T292" s="38"/>
      <c r="U292" s="38"/>
      <c r="V292" s="25">
        <v>45.2</v>
      </c>
      <c r="W292" s="38">
        <v>27</v>
      </c>
      <c r="X292" s="38" t="s">
        <v>87</v>
      </c>
      <c r="Y292" s="38" t="s">
        <v>130</v>
      </c>
      <c r="Z292" s="38" t="s">
        <v>172</v>
      </c>
      <c r="AA292" s="38">
        <v>45</v>
      </c>
      <c r="AB292" s="38">
        <v>90</v>
      </c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4"/>
      <c r="AZ292" s="38"/>
      <c r="BA292" s="38"/>
      <c r="BB292" s="38">
        <f>IF(AND(PCdb[[#This Row],[BCD]]&gt;UIoptions!$S$10,PCdb[[#This Row],[BCD]]&lt;UIoptions!$T$10),1,0)</f>
        <v>0</v>
      </c>
      <c r="BC292" s="38">
        <f>IF(AND(PCdb[[#This Row],[PD]]&gt;UIoptions!$S$11,PCdb[[#This Row],[PD]]&lt;UIoptions!$T$11),1,0)</f>
        <v>0</v>
      </c>
      <c r="BD292" s="38">
        <f>IF(AND(UIoptions!$P$14&lt;=PCdb[[#This Row],[PL (MAX)]],UIoptions!$P$14&gt;UIoptions!$S$14),1,0)</f>
        <v>1</v>
      </c>
      <c r="BE292" s="38">
        <f>IF(AND(PCdb[[#This Row],[SD]]&gt;UIoptions!$S$12,PCdb[[#This Row],[SD]]&lt;UIoptions!$T$12),1,0)</f>
        <v>0</v>
      </c>
      <c r="BF292" s="38">
        <f>IF(AND(PCdb[[#This Row],[SL]]&gt;UIoptions!$S$13,PCdb[[#This Row],[SL]]&lt;UIoptions!$T$13),1,0)</f>
        <v>0</v>
      </c>
      <c r="BG292" s="38">
        <f>IF(UIoptions!$N$35=1,IF(AND(PCdb[[#This Row],[SQ_SZ]]&gt;UIoptions!$S$15,PCdb[[#This Row],[SQ_SZ]]&lt;UIoptions!$T$15),1,0),1)</f>
        <v>0</v>
      </c>
      <c r="BH292" s="38">
        <f>IF(UIoptions!$N$35=2,IF(AND(PCdb[[#This Row],[ROUND_D]]&gt;UIoptions!$S$15,PCdb[[#This Row],[ROUND_D]]&lt;UIoptions!$T$15),1,0),1)</f>
        <v>1</v>
      </c>
      <c r="BI292" s="38">
        <f>IF(UIoptions!$N$75&lt;&gt;1,1,IF(AND(PCdb[[#This Row],[FL]]&gt;UIoptions!$S$16,PCdb[[#This Row],[FL]]&lt;UIoptions!$T$16),1,0))</f>
        <v>0</v>
      </c>
      <c r="BJ292" s="38" t="e">
        <f>IF(OR(UIoptions!$Q$18=PCdb[[#This Row],[THRU_SCREW]],UIoptions!$Q$18="NA"),1,0)</f>
        <v>#N/A</v>
      </c>
      <c r="BK292" s="38">
        <f>IF(OR(UIoptions!$P$19=PCdb[[#This Row],[THREAD_SZ]],UIoptions!$P$19="NA"),1,0)</f>
        <v>1</v>
      </c>
      <c r="BL292" s="38">
        <f>IF(UIoptions!$N$75=1,1,IF(AND(PCdb[[#This Row],[THREAD_L]]&gt;UIoptions!$S$17,PCdb[[#This Row],[THREAD_L]]&lt;UIoptions!$T$17),1,0))</f>
        <v>1</v>
      </c>
      <c r="BM292" s="38" t="e">
        <f>IF(SUM(PCdb[[#This Row],[BDhit]:[THREAD_Lhit]])=11,1,0)</f>
        <v>#N/A</v>
      </c>
      <c r="BN29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905041220.580NA4M5NANA4</v>
      </c>
      <c r="BO292" s="38" t="e">
        <f>SUM(PCdb[[#This Row],[BDhit]:[THREAD_Lhit]])</f>
        <v>#N/A</v>
      </c>
    </row>
    <row r="293" spans="1:67" x14ac:dyDescent="0.25">
      <c r="A293" s="7">
        <v>300</v>
      </c>
      <c r="B293" s="93">
        <v>43.8</v>
      </c>
      <c r="C293" s="93">
        <v>26</v>
      </c>
      <c r="D293" s="93">
        <v>10</v>
      </c>
      <c r="E293" s="93">
        <v>10</v>
      </c>
      <c r="F293" s="93">
        <v>28</v>
      </c>
      <c r="G293" s="93">
        <v>42</v>
      </c>
      <c r="H293" s="93" t="s">
        <v>87</v>
      </c>
      <c r="I293" s="93" t="s">
        <v>87</v>
      </c>
      <c r="J293" s="93" t="s">
        <v>87</v>
      </c>
      <c r="K293" s="93" t="s">
        <v>7</v>
      </c>
      <c r="L293" s="93">
        <v>8</v>
      </c>
      <c r="M293" s="93">
        <v>4</v>
      </c>
      <c r="N293" s="38">
        <v>5</v>
      </c>
      <c r="O293" s="38"/>
      <c r="P293" s="38"/>
      <c r="Q293" s="38"/>
      <c r="R293" s="38"/>
      <c r="S293" s="38"/>
      <c r="T293" s="38"/>
      <c r="U293" s="38"/>
      <c r="V293" s="25">
        <v>45.2</v>
      </c>
      <c r="W293" s="38" t="s">
        <v>87</v>
      </c>
      <c r="X293" s="38" t="s">
        <v>87</v>
      </c>
      <c r="Y293" s="38" t="s">
        <v>130</v>
      </c>
      <c r="Z293" s="34" t="s">
        <v>711</v>
      </c>
      <c r="AA293" s="38">
        <v>45</v>
      </c>
      <c r="AB293" s="38">
        <v>90</v>
      </c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>
        <f>IF(AND(PCdb[[#This Row],[BCD]]&gt;UIoptions!$S$10,PCdb[[#This Row],[BCD]]&lt;UIoptions!$T$10),1,0)</f>
        <v>0</v>
      </c>
      <c r="BC293" s="38">
        <f>IF(AND(PCdb[[#This Row],[PD]]&gt;UIoptions!$S$11,PCdb[[#This Row],[PD]]&lt;UIoptions!$T$11),1,0)</f>
        <v>0</v>
      </c>
      <c r="BD293" s="38">
        <f>IF(AND(UIoptions!$P$14&lt;=PCdb[[#This Row],[PL (MAX)]],UIoptions!$P$14&gt;UIoptions!$S$14),1,0)</f>
        <v>1</v>
      </c>
      <c r="BE293" s="38">
        <f>IF(AND(PCdb[[#This Row],[SD]]&gt;UIoptions!$S$12,PCdb[[#This Row],[SD]]&lt;UIoptions!$T$12),1,0)</f>
        <v>0</v>
      </c>
      <c r="BF293" s="38">
        <f>IF(AND(PCdb[[#This Row],[SL]]&gt;UIoptions!$S$13,PCdb[[#This Row],[SL]]&lt;UIoptions!$T$13),1,0)</f>
        <v>0</v>
      </c>
      <c r="BG293" s="38">
        <f>IF(UIoptions!$N$35=1,IF(AND(PCdb[[#This Row],[SQ_SZ]]&gt;UIoptions!$S$15,PCdb[[#This Row],[SQ_SZ]]&lt;UIoptions!$T$15),1,0),1)</f>
        <v>0</v>
      </c>
      <c r="BH293" s="38">
        <f>IF(UIoptions!$N$35=2,IF(AND(PCdb[[#This Row],[ROUND_D]]&gt;UIoptions!$S$15,PCdb[[#This Row],[ROUND_D]]&lt;UIoptions!$T$15),1,0),1)</f>
        <v>1</v>
      </c>
      <c r="BI293" s="38">
        <f>IF(UIoptions!$N$75&lt;&gt;1,1,IF(AND(PCdb[[#This Row],[FL]]&gt;UIoptions!$S$16,PCdb[[#This Row],[FL]]&lt;UIoptions!$T$16),1,0))</f>
        <v>0</v>
      </c>
      <c r="BJ293" s="38" t="e">
        <f>IF(OR(UIoptions!$Q$18=PCdb[[#This Row],[THRU_SCREW]],UIoptions!$Q$18="NA"),1,0)</f>
        <v>#N/A</v>
      </c>
      <c r="BK293" s="38">
        <f>IF(OR(UIoptions!$P$19=PCdb[[#This Row],[THREAD_SZ]],UIoptions!$P$19="NA"),1,0)</f>
        <v>1</v>
      </c>
      <c r="BL293" s="38">
        <f>IF(UIoptions!$N$75=1,1,IF(AND(PCdb[[#This Row],[THREAD_L]]&gt;UIoptions!$S$17,PCdb[[#This Row],[THREAD_L]]&lt;UIoptions!$T$17),1,0))</f>
        <v>1</v>
      </c>
      <c r="BM293" s="38" t="e">
        <f>IF(SUM(PCdb[[#This Row],[BDhit]:[THREAD_Lhit]])=11,1,0)</f>
        <v>#N/A</v>
      </c>
      <c r="BN29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43.82610102842NANANAM484</v>
      </c>
      <c r="BO293" s="38" t="e">
        <f>SUM(PCdb[[#This Row],[BDhit]:[THREAD_Lhit]])</f>
        <v>#N/A</v>
      </c>
    </row>
    <row r="294" spans="1:67" x14ac:dyDescent="0.25">
      <c r="A294" s="7">
        <v>301</v>
      </c>
      <c r="B294" s="93">
        <v>26</v>
      </c>
      <c r="C294" s="93">
        <v>19</v>
      </c>
      <c r="D294" s="93">
        <v>4</v>
      </c>
      <c r="E294" s="93">
        <v>6</v>
      </c>
      <c r="F294" s="93">
        <v>19.5</v>
      </c>
      <c r="G294" s="93" t="s">
        <v>87</v>
      </c>
      <c r="H294" s="93">
        <v>32</v>
      </c>
      <c r="I294" s="93" t="s">
        <v>87</v>
      </c>
      <c r="J294" s="93" t="s">
        <v>87</v>
      </c>
      <c r="K294" s="93" t="s">
        <v>105</v>
      </c>
      <c r="L294" s="93">
        <v>4</v>
      </c>
      <c r="M294" s="93">
        <v>4</v>
      </c>
      <c r="N294" s="38">
        <v>4</v>
      </c>
      <c r="O294" s="25">
        <v>38.700000000000003</v>
      </c>
      <c r="P294" s="38" t="s">
        <v>87</v>
      </c>
      <c r="Q294" s="38" t="s">
        <v>87</v>
      </c>
      <c r="R294" s="38" t="s">
        <v>130</v>
      </c>
      <c r="S294" s="38" t="s">
        <v>278</v>
      </c>
      <c r="T294" s="38">
        <v>0</v>
      </c>
      <c r="U294" s="38">
        <v>90</v>
      </c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>
        <f>IF(AND(PCdb[[#This Row],[BCD]]&gt;UIoptions!$S$10,PCdb[[#This Row],[BCD]]&lt;UIoptions!$T$10),1,0)</f>
        <v>0</v>
      </c>
      <c r="BC294" s="38">
        <f>IF(AND(PCdb[[#This Row],[PD]]&gt;UIoptions!$S$11,PCdb[[#This Row],[PD]]&lt;UIoptions!$T$11),1,0)</f>
        <v>0</v>
      </c>
      <c r="BD294" s="38">
        <f>IF(AND(UIoptions!$P$14&lt;=PCdb[[#This Row],[PL (MAX)]],UIoptions!$P$14&gt;UIoptions!$S$14),1,0)</f>
        <v>1</v>
      </c>
      <c r="BE294" s="38">
        <f>IF(AND(PCdb[[#This Row],[SD]]&gt;UIoptions!$S$12,PCdb[[#This Row],[SD]]&lt;UIoptions!$T$12),1,0)</f>
        <v>0</v>
      </c>
      <c r="BF294" s="38">
        <f>IF(AND(PCdb[[#This Row],[SL]]&gt;UIoptions!$S$13,PCdb[[#This Row],[SL]]&lt;UIoptions!$T$13),1,0)</f>
        <v>0</v>
      </c>
      <c r="BG294" s="38">
        <f>IF(UIoptions!$N$35=1,IF(AND(PCdb[[#This Row],[SQ_SZ]]&gt;UIoptions!$S$15,PCdb[[#This Row],[SQ_SZ]]&lt;UIoptions!$T$15),1,0),1)</f>
        <v>0</v>
      </c>
      <c r="BH294" s="38">
        <f>IF(UIoptions!$N$35=2,IF(AND(PCdb[[#This Row],[ROUND_D]]&gt;UIoptions!$S$15,PCdb[[#This Row],[ROUND_D]]&lt;UIoptions!$T$15),1,0),1)</f>
        <v>1</v>
      </c>
      <c r="BI294" s="38">
        <f>IF(UIoptions!$N$75&lt;&gt;1,1,IF(AND(PCdb[[#This Row],[FL]]&gt;UIoptions!$S$16,PCdb[[#This Row],[FL]]&lt;UIoptions!$T$16),1,0))</f>
        <v>0</v>
      </c>
      <c r="BJ294" s="38" t="e">
        <f>IF(OR(UIoptions!$Q$18=PCdb[[#This Row],[THRU_SCREW]],UIoptions!$Q$18="NA"),1,0)</f>
        <v>#N/A</v>
      </c>
      <c r="BK294" s="38">
        <f>IF(OR(UIoptions!$P$19=PCdb[[#This Row],[THREAD_SZ]],UIoptions!$P$19="NA"),1,0)</f>
        <v>1</v>
      </c>
      <c r="BL294" s="38">
        <f>IF(UIoptions!$N$75=1,1,IF(AND(PCdb[[#This Row],[THREAD_L]]&gt;UIoptions!$S$17,PCdb[[#This Row],[THREAD_L]]&lt;UIoptions!$T$17),1,0))</f>
        <v>1</v>
      </c>
      <c r="BM294" s="38" t="e">
        <f>IF(SUM(PCdb[[#This Row],[BDhit]:[THREAD_Lhit]])=11,1,0)</f>
        <v>#N/A</v>
      </c>
      <c r="BN29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26194619.5NA32NANAM344</v>
      </c>
      <c r="BO294" s="38" t="e">
        <f>SUM(PCdb[[#This Row],[BDhit]:[THREAD_Lhit]])</f>
        <v>#N/A</v>
      </c>
    </row>
    <row r="295" spans="1:67" x14ac:dyDescent="0.25">
      <c r="A295" s="7">
        <v>302</v>
      </c>
      <c r="B295" s="93">
        <v>45</v>
      </c>
      <c r="C295" s="93">
        <v>30</v>
      </c>
      <c r="D295" s="93">
        <v>4</v>
      </c>
      <c r="E295" s="93">
        <v>8</v>
      </c>
      <c r="F295" s="93">
        <v>23.8</v>
      </c>
      <c r="G295" s="93">
        <v>40</v>
      </c>
      <c r="H295" s="93" t="s">
        <v>87</v>
      </c>
      <c r="I295" s="93">
        <v>7.3</v>
      </c>
      <c r="J295" s="93" t="s">
        <v>105</v>
      </c>
      <c r="K295" s="93" t="s">
        <v>87</v>
      </c>
      <c r="L295" s="93" t="s">
        <v>87</v>
      </c>
      <c r="M295" s="93">
        <v>4</v>
      </c>
      <c r="N295" s="38" t="s">
        <v>105</v>
      </c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>
        <v>17.5</v>
      </c>
      <c r="AK295" s="38" t="s">
        <v>87</v>
      </c>
      <c r="AL295" s="38" t="s">
        <v>130</v>
      </c>
      <c r="AM295" s="38" t="s">
        <v>176</v>
      </c>
      <c r="AN295" s="38">
        <v>45</v>
      </c>
      <c r="AO295" s="38">
        <v>90</v>
      </c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>
        <f>IF(AND(PCdb[[#This Row],[BCD]]&gt;UIoptions!$S$10,PCdb[[#This Row],[BCD]]&lt;UIoptions!$T$10),1,0)</f>
        <v>0</v>
      </c>
      <c r="BC295" s="38">
        <f>IF(AND(PCdb[[#This Row],[PD]]&gt;UIoptions!$S$11,PCdb[[#This Row],[PD]]&lt;UIoptions!$T$11),1,0)</f>
        <v>0</v>
      </c>
      <c r="BD295" s="38">
        <f>IF(AND(UIoptions!$P$14&lt;=PCdb[[#This Row],[PL (MAX)]],UIoptions!$P$14&gt;UIoptions!$S$14),1,0)</f>
        <v>1</v>
      </c>
      <c r="BE295" s="38">
        <f>IF(AND(PCdb[[#This Row],[SD]]&gt;UIoptions!$S$12,PCdb[[#This Row],[SD]]&lt;UIoptions!$T$12),1,0)</f>
        <v>0</v>
      </c>
      <c r="BF295" s="38">
        <f>IF(AND(PCdb[[#This Row],[SL]]&gt;UIoptions!$S$13,PCdb[[#This Row],[SL]]&lt;UIoptions!$T$13),1,0)</f>
        <v>0</v>
      </c>
      <c r="BG295" s="38">
        <f>IF(UIoptions!$N$35=1,IF(AND(PCdb[[#This Row],[SQ_SZ]]&gt;UIoptions!$S$15,PCdb[[#This Row],[SQ_SZ]]&lt;UIoptions!$T$15),1,0),1)</f>
        <v>0</v>
      </c>
      <c r="BH295" s="38">
        <f>IF(UIoptions!$N$35=2,IF(AND(PCdb[[#This Row],[ROUND_D]]&gt;UIoptions!$S$15,PCdb[[#This Row],[ROUND_D]]&lt;UIoptions!$T$15),1,0),1)</f>
        <v>1</v>
      </c>
      <c r="BI295" s="38">
        <f>IF(UIoptions!$N$75&lt;&gt;1,1,IF(AND(PCdb[[#This Row],[FL]]&gt;UIoptions!$S$16,PCdb[[#This Row],[FL]]&lt;UIoptions!$T$16),1,0))</f>
        <v>0</v>
      </c>
      <c r="BJ295" s="38" t="e">
        <f>IF(OR(UIoptions!$Q$18=PCdb[[#This Row],[THRU_SCREW]],UIoptions!$Q$18="NA"),1,0)</f>
        <v>#N/A</v>
      </c>
      <c r="BK295" s="38">
        <f>IF(OR(UIoptions!$P$19=PCdb[[#This Row],[THREAD_SZ]],UIoptions!$P$19="NA"),1,0)</f>
        <v>1</v>
      </c>
      <c r="BL295" s="38">
        <f>IF(UIoptions!$N$75=1,1,IF(AND(PCdb[[#This Row],[THREAD_L]]&gt;UIoptions!$S$17,PCdb[[#This Row],[THREAD_L]]&lt;UIoptions!$T$17),1,0))</f>
        <v>1</v>
      </c>
      <c r="BM295" s="38" t="e">
        <f>IF(SUM(PCdb[[#This Row],[BDhit]:[THREAD_Lhit]])=11,1,0)</f>
        <v>#N/A</v>
      </c>
      <c r="BN29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45304823.840NA7.3M3NANA4</v>
      </c>
      <c r="BO295" s="38" t="e">
        <f>SUM(PCdb[[#This Row],[BDhit]:[THREAD_Lhit]])</f>
        <v>#N/A</v>
      </c>
    </row>
    <row r="296" spans="1:67" x14ac:dyDescent="0.25">
      <c r="A296" s="7">
        <v>303</v>
      </c>
      <c r="B296" s="93">
        <v>98.3</v>
      </c>
      <c r="C296" s="93">
        <v>73</v>
      </c>
      <c r="D296" s="93">
        <v>4</v>
      </c>
      <c r="E296" s="93">
        <v>12</v>
      </c>
      <c r="F296" s="93">
        <v>30</v>
      </c>
      <c r="G296" s="93">
        <v>85</v>
      </c>
      <c r="H296" s="93" t="s">
        <v>87</v>
      </c>
      <c r="I296" s="93">
        <v>10</v>
      </c>
      <c r="J296" s="93" t="s">
        <v>49</v>
      </c>
      <c r="K296" s="93" t="s">
        <v>87</v>
      </c>
      <c r="L296" s="93" t="s">
        <v>87</v>
      </c>
      <c r="M296" s="93">
        <v>4</v>
      </c>
      <c r="N296" s="38" t="s">
        <v>49</v>
      </c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25">
        <v>48.7</v>
      </c>
      <c r="AD296" s="38">
        <v>39</v>
      </c>
      <c r="AE296" s="38" t="s">
        <v>87</v>
      </c>
      <c r="AF296" s="38" t="s">
        <v>130</v>
      </c>
      <c r="AG296" s="38" t="s">
        <v>172</v>
      </c>
      <c r="AH296" s="38">
        <v>45</v>
      </c>
      <c r="AI296" s="38">
        <v>90</v>
      </c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>
        <f>IF(AND(PCdb[[#This Row],[BCD]]&gt;UIoptions!$S$10,PCdb[[#This Row],[BCD]]&lt;UIoptions!$T$10),1,0)</f>
        <v>0</v>
      </c>
      <c r="BC296" s="38">
        <f>IF(AND(PCdb[[#This Row],[PD]]&gt;UIoptions!$S$11,PCdb[[#This Row],[PD]]&lt;UIoptions!$T$11),1,0)</f>
        <v>0</v>
      </c>
      <c r="BD296" s="38">
        <f>IF(AND(UIoptions!$P$14&lt;=PCdb[[#This Row],[PL (MAX)]],UIoptions!$P$14&gt;UIoptions!$S$14),1,0)</f>
        <v>1</v>
      </c>
      <c r="BE296" s="38">
        <f>IF(AND(PCdb[[#This Row],[SD]]&gt;UIoptions!$S$12,PCdb[[#This Row],[SD]]&lt;UIoptions!$T$12),1,0)</f>
        <v>0</v>
      </c>
      <c r="BF296" s="38">
        <f>IF(AND(PCdb[[#This Row],[SL]]&gt;UIoptions!$S$13,PCdb[[#This Row],[SL]]&lt;UIoptions!$T$13),1,0)</f>
        <v>0</v>
      </c>
      <c r="BG296" s="38">
        <f>IF(UIoptions!$N$35=1,IF(AND(PCdb[[#This Row],[SQ_SZ]]&gt;UIoptions!$S$15,PCdb[[#This Row],[SQ_SZ]]&lt;UIoptions!$T$15),1,0),1)</f>
        <v>0</v>
      </c>
      <c r="BH296" s="38">
        <f>IF(UIoptions!$N$35=2,IF(AND(PCdb[[#This Row],[ROUND_D]]&gt;UIoptions!$S$15,PCdb[[#This Row],[ROUND_D]]&lt;UIoptions!$T$15),1,0),1)</f>
        <v>1</v>
      </c>
      <c r="BI296" s="38">
        <f>IF(UIoptions!$N$75&lt;&gt;1,1,IF(AND(PCdb[[#This Row],[FL]]&gt;UIoptions!$S$16,PCdb[[#This Row],[FL]]&lt;UIoptions!$T$16),1,0))</f>
        <v>0</v>
      </c>
      <c r="BJ296" s="38" t="e">
        <f>IF(OR(UIoptions!$Q$18=PCdb[[#This Row],[THRU_SCREW]],UIoptions!$Q$18="NA"),1,0)</f>
        <v>#N/A</v>
      </c>
      <c r="BK296" s="38">
        <f>IF(OR(UIoptions!$P$19=PCdb[[#This Row],[THREAD_SZ]],UIoptions!$P$19="NA"),1,0)</f>
        <v>1</v>
      </c>
      <c r="BL296" s="38">
        <f>IF(UIoptions!$N$75=1,1,IF(AND(PCdb[[#This Row],[THREAD_L]]&gt;UIoptions!$S$17,PCdb[[#This Row],[THREAD_L]]&lt;UIoptions!$T$17),1,0))</f>
        <v>1</v>
      </c>
      <c r="BM296" s="38" t="e">
        <f>IF(SUM(PCdb[[#This Row],[BDhit]:[THREAD_Lhit]])=11,1,0)</f>
        <v>#N/A</v>
      </c>
      <c r="BN29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98.3734123085NA10M6NANA4</v>
      </c>
      <c r="BO296" s="38" t="e">
        <f>SUM(PCdb[[#This Row],[BDhit]:[THREAD_Lhit]])</f>
        <v>#N/A</v>
      </c>
    </row>
    <row r="297" spans="1:67" x14ac:dyDescent="0.25">
      <c r="A297" s="7">
        <v>304</v>
      </c>
      <c r="B297" s="93">
        <v>66.8</v>
      </c>
      <c r="C297" s="93">
        <v>38.1</v>
      </c>
      <c r="D297" s="93">
        <v>4</v>
      </c>
      <c r="E297" s="93">
        <v>8</v>
      </c>
      <c r="F297" s="93">
        <v>21</v>
      </c>
      <c r="G297" s="93">
        <v>57.2</v>
      </c>
      <c r="H297" s="93" t="s">
        <v>87</v>
      </c>
      <c r="I297" s="93">
        <v>5</v>
      </c>
      <c r="J297" s="93" t="s">
        <v>7</v>
      </c>
      <c r="K297" s="93" t="s">
        <v>87</v>
      </c>
      <c r="L297" s="93" t="s">
        <v>87</v>
      </c>
      <c r="M297" s="93">
        <v>4</v>
      </c>
      <c r="N297" s="38" t="s">
        <v>7</v>
      </c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>
        <v>21</v>
      </c>
      <c r="AQ297" s="38" t="s">
        <v>87</v>
      </c>
      <c r="AR297" s="38" t="s">
        <v>130</v>
      </c>
      <c r="AS297" s="38" t="s">
        <v>176</v>
      </c>
      <c r="AT297" s="38">
        <v>45</v>
      </c>
      <c r="AU297" s="38">
        <v>90</v>
      </c>
      <c r="AV297" s="38"/>
      <c r="AW297" s="38"/>
      <c r="AX297" s="38"/>
      <c r="AY297" s="38"/>
      <c r="AZ297" s="38"/>
      <c r="BA297" s="38"/>
      <c r="BB297" s="38">
        <f>IF(AND(PCdb[[#This Row],[BCD]]&gt;UIoptions!$S$10,PCdb[[#This Row],[BCD]]&lt;UIoptions!$T$10),1,0)</f>
        <v>0</v>
      </c>
      <c r="BC297" s="38">
        <f>IF(AND(PCdb[[#This Row],[PD]]&gt;UIoptions!$S$11,PCdb[[#This Row],[PD]]&lt;UIoptions!$T$11),1,0)</f>
        <v>0</v>
      </c>
      <c r="BD297" s="38">
        <f>IF(AND(UIoptions!$P$14&lt;=PCdb[[#This Row],[PL (MAX)]],UIoptions!$P$14&gt;UIoptions!$S$14),1,0)</f>
        <v>1</v>
      </c>
      <c r="BE297" s="38">
        <f>IF(AND(PCdb[[#This Row],[SD]]&gt;UIoptions!$S$12,PCdb[[#This Row],[SD]]&lt;UIoptions!$T$12),1,0)</f>
        <v>0</v>
      </c>
      <c r="BF297" s="38">
        <f>IF(AND(PCdb[[#This Row],[SL]]&gt;UIoptions!$S$13,PCdb[[#This Row],[SL]]&lt;UIoptions!$T$13),1,0)</f>
        <v>0</v>
      </c>
      <c r="BG297" s="38">
        <f>IF(UIoptions!$N$35=1,IF(AND(PCdb[[#This Row],[SQ_SZ]]&gt;UIoptions!$S$15,PCdb[[#This Row],[SQ_SZ]]&lt;UIoptions!$T$15),1,0),1)</f>
        <v>0</v>
      </c>
      <c r="BH297" s="38">
        <f>IF(UIoptions!$N$35=2,IF(AND(PCdb[[#This Row],[ROUND_D]]&gt;UIoptions!$S$15,PCdb[[#This Row],[ROUND_D]]&lt;UIoptions!$T$15),1,0),1)</f>
        <v>1</v>
      </c>
      <c r="BI297" s="38">
        <f>IF(UIoptions!$N$75&lt;&gt;1,1,IF(AND(PCdb[[#This Row],[FL]]&gt;UIoptions!$S$16,PCdb[[#This Row],[FL]]&lt;UIoptions!$T$16),1,0))</f>
        <v>0</v>
      </c>
      <c r="BJ297" s="38" t="e">
        <f>IF(OR(UIoptions!$Q$18=PCdb[[#This Row],[THRU_SCREW]],UIoptions!$Q$18="NA"),1,0)</f>
        <v>#N/A</v>
      </c>
      <c r="BK297" s="38">
        <f>IF(OR(UIoptions!$P$19=PCdb[[#This Row],[THREAD_SZ]],UIoptions!$P$19="NA"),1,0)</f>
        <v>1</v>
      </c>
      <c r="BL297" s="38">
        <f>IF(UIoptions!$N$75=1,1,IF(AND(PCdb[[#This Row],[THREAD_L]]&gt;UIoptions!$S$17,PCdb[[#This Row],[THREAD_L]]&lt;UIoptions!$T$17),1,0))</f>
        <v>1</v>
      </c>
      <c r="BM297" s="38" t="e">
        <f>IF(SUM(PCdb[[#This Row],[BDhit]:[THREAD_Lhit]])=11,1,0)</f>
        <v>#N/A</v>
      </c>
      <c r="BN29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66.838.1482157.2NA5M4NANA4</v>
      </c>
      <c r="BO297" s="38" t="e">
        <f>SUM(PCdb[[#This Row],[BDhit]:[THREAD_Lhit]])</f>
        <v>#N/A</v>
      </c>
    </row>
    <row r="298" spans="1:67" x14ac:dyDescent="0.25">
      <c r="A298" s="7">
        <v>305</v>
      </c>
      <c r="B298" s="93">
        <v>28</v>
      </c>
      <c r="C298" s="93">
        <v>22</v>
      </c>
      <c r="D298" s="93">
        <v>2</v>
      </c>
      <c r="E298" s="93">
        <v>8</v>
      </c>
      <c r="F298" s="93">
        <v>20</v>
      </c>
      <c r="G298" s="93" t="s">
        <v>87</v>
      </c>
      <c r="H298" s="93">
        <v>36</v>
      </c>
      <c r="I298" s="93" t="s">
        <v>87</v>
      </c>
      <c r="J298" s="93" t="s">
        <v>87</v>
      </c>
      <c r="K298" s="93" t="s">
        <v>105</v>
      </c>
      <c r="L298" s="93">
        <v>8</v>
      </c>
      <c r="M298" s="93">
        <v>4</v>
      </c>
      <c r="N298" s="38">
        <v>4</v>
      </c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 t="s">
        <v>87</v>
      </c>
      <c r="AK298" s="38" t="s">
        <v>87</v>
      </c>
      <c r="AL298" s="38" t="s">
        <v>130</v>
      </c>
      <c r="AM298" s="38" t="s">
        <v>280</v>
      </c>
      <c r="AN298" s="38">
        <v>45</v>
      </c>
      <c r="AO298" s="38">
        <v>90</v>
      </c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>
        <f>IF(AND(PCdb[[#This Row],[BCD]]&gt;UIoptions!$S$10,PCdb[[#This Row],[BCD]]&lt;UIoptions!$T$10),1,0)</f>
        <v>0</v>
      </c>
      <c r="BC298" s="38">
        <f>IF(AND(PCdb[[#This Row],[PD]]&gt;UIoptions!$S$11,PCdb[[#This Row],[PD]]&lt;UIoptions!$T$11),1,0)</f>
        <v>0</v>
      </c>
      <c r="BD298" s="38">
        <f>IF(AND(UIoptions!$P$14&lt;=PCdb[[#This Row],[PL (MAX)]],UIoptions!$P$14&gt;UIoptions!$S$14),1,0)</f>
        <v>0</v>
      </c>
      <c r="BE298" s="38">
        <f>IF(AND(PCdb[[#This Row],[SD]]&gt;UIoptions!$S$12,PCdb[[#This Row],[SD]]&lt;UIoptions!$T$12),1,0)</f>
        <v>0</v>
      </c>
      <c r="BF298" s="38">
        <f>IF(AND(PCdb[[#This Row],[SL]]&gt;UIoptions!$S$13,PCdb[[#This Row],[SL]]&lt;UIoptions!$T$13),1,0)</f>
        <v>0</v>
      </c>
      <c r="BG298" s="38">
        <f>IF(UIoptions!$N$35=1,IF(AND(PCdb[[#This Row],[SQ_SZ]]&gt;UIoptions!$S$15,PCdb[[#This Row],[SQ_SZ]]&lt;UIoptions!$T$15),1,0),1)</f>
        <v>0</v>
      </c>
      <c r="BH298" s="38">
        <f>IF(UIoptions!$N$35=2,IF(AND(PCdb[[#This Row],[ROUND_D]]&gt;UIoptions!$S$15,PCdb[[#This Row],[ROUND_D]]&lt;UIoptions!$T$15),1,0),1)</f>
        <v>1</v>
      </c>
      <c r="BI298" s="38">
        <f>IF(UIoptions!$N$75&lt;&gt;1,1,IF(AND(PCdb[[#This Row],[FL]]&gt;UIoptions!$S$16,PCdb[[#This Row],[FL]]&lt;UIoptions!$T$16),1,0))</f>
        <v>0</v>
      </c>
      <c r="BJ298" s="38" t="e">
        <f>IF(OR(UIoptions!$Q$18=PCdb[[#This Row],[THRU_SCREW]],UIoptions!$Q$18="NA"),1,0)</f>
        <v>#N/A</v>
      </c>
      <c r="BK298" s="38">
        <f>IF(OR(UIoptions!$P$19=PCdb[[#This Row],[THREAD_SZ]],UIoptions!$P$19="NA"),1,0)</f>
        <v>1</v>
      </c>
      <c r="BL298" s="38">
        <f>IF(UIoptions!$N$75=1,1,IF(AND(PCdb[[#This Row],[THREAD_L]]&gt;UIoptions!$S$17,PCdb[[#This Row],[THREAD_L]]&lt;UIoptions!$T$17),1,0))</f>
        <v>1</v>
      </c>
      <c r="BM298" s="38" t="e">
        <f>IF(SUM(PCdb[[#This Row],[BDhit]:[THREAD_Lhit]])=11,1,0)</f>
        <v>#N/A</v>
      </c>
      <c r="BN29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28222820NA36NANAM384</v>
      </c>
      <c r="BO298" s="38" t="e">
        <f>SUM(PCdb[[#This Row],[BDhit]:[THREAD_Lhit]])</f>
        <v>#N/A</v>
      </c>
    </row>
    <row r="299" spans="1:67" x14ac:dyDescent="0.25">
      <c r="A299" s="7">
        <v>306</v>
      </c>
      <c r="B299" s="93">
        <v>66.7</v>
      </c>
      <c r="C299" s="93">
        <v>38.1</v>
      </c>
      <c r="D299" s="93">
        <v>4</v>
      </c>
      <c r="E299" s="93">
        <v>8</v>
      </c>
      <c r="F299" s="93">
        <v>20</v>
      </c>
      <c r="G299" s="93">
        <v>60</v>
      </c>
      <c r="H299" s="93" t="s">
        <v>87</v>
      </c>
      <c r="I299" s="93">
        <v>7</v>
      </c>
      <c r="J299" s="93" t="s">
        <v>7</v>
      </c>
      <c r="K299" s="93" t="s">
        <v>87</v>
      </c>
      <c r="L299" s="93" t="s">
        <v>87</v>
      </c>
      <c r="M299" s="93">
        <v>4</v>
      </c>
      <c r="N299" s="38" t="s">
        <v>7</v>
      </c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>
        <v>22</v>
      </c>
      <c r="AQ299" s="38" t="s">
        <v>87</v>
      </c>
      <c r="AR299" s="38" t="s">
        <v>130</v>
      </c>
      <c r="AS299" s="38" t="s">
        <v>176</v>
      </c>
      <c r="AT299" s="38">
        <v>45</v>
      </c>
      <c r="AU299" s="38">
        <v>90</v>
      </c>
      <c r="AV299" s="38"/>
      <c r="AW299" s="38"/>
      <c r="AX299" s="38"/>
      <c r="AY299" s="38"/>
      <c r="AZ299" s="38"/>
      <c r="BA299" s="38"/>
      <c r="BB299" s="38">
        <f>IF(AND(PCdb[[#This Row],[BCD]]&gt;UIoptions!$S$10,PCdb[[#This Row],[BCD]]&lt;UIoptions!$T$10),1,0)</f>
        <v>0</v>
      </c>
      <c r="BC299" s="38">
        <f>IF(AND(PCdb[[#This Row],[PD]]&gt;UIoptions!$S$11,PCdb[[#This Row],[PD]]&lt;UIoptions!$T$11),1,0)</f>
        <v>0</v>
      </c>
      <c r="BD299" s="38">
        <f>IF(AND(UIoptions!$P$14&lt;=PCdb[[#This Row],[PL (MAX)]],UIoptions!$P$14&gt;UIoptions!$S$14),1,0)</f>
        <v>1</v>
      </c>
      <c r="BE299" s="38">
        <f>IF(AND(PCdb[[#This Row],[SD]]&gt;UIoptions!$S$12,PCdb[[#This Row],[SD]]&lt;UIoptions!$T$12),1,0)</f>
        <v>0</v>
      </c>
      <c r="BF299" s="38">
        <f>IF(AND(PCdb[[#This Row],[SL]]&gt;UIoptions!$S$13,PCdb[[#This Row],[SL]]&lt;UIoptions!$T$13),1,0)</f>
        <v>0</v>
      </c>
      <c r="BG299" s="38">
        <f>IF(UIoptions!$N$35=1,IF(AND(PCdb[[#This Row],[SQ_SZ]]&gt;UIoptions!$S$15,PCdb[[#This Row],[SQ_SZ]]&lt;UIoptions!$T$15),1,0),1)</f>
        <v>0</v>
      </c>
      <c r="BH299" s="38">
        <f>IF(UIoptions!$N$35=2,IF(AND(PCdb[[#This Row],[ROUND_D]]&gt;UIoptions!$S$15,PCdb[[#This Row],[ROUND_D]]&lt;UIoptions!$T$15),1,0),1)</f>
        <v>1</v>
      </c>
      <c r="BI299" s="38">
        <f>IF(UIoptions!$N$75&lt;&gt;1,1,IF(AND(PCdb[[#This Row],[FL]]&gt;UIoptions!$S$16,PCdb[[#This Row],[FL]]&lt;UIoptions!$T$16),1,0))</f>
        <v>0</v>
      </c>
      <c r="BJ299" s="38" t="e">
        <f>IF(OR(UIoptions!$Q$18=PCdb[[#This Row],[THRU_SCREW]],UIoptions!$Q$18="NA"),1,0)</f>
        <v>#N/A</v>
      </c>
      <c r="BK299" s="38">
        <f>IF(OR(UIoptions!$P$19=PCdb[[#This Row],[THREAD_SZ]],UIoptions!$P$19="NA"),1,0)</f>
        <v>1</v>
      </c>
      <c r="BL299" s="38">
        <f>IF(UIoptions!$N$75=1,1,IF(AND(PCdb[[#This Row],[THREAD_L]]&gt;UIoptions!$S$17,PCdb[[#This Row],[THREAD_L]]&lt;UIoptions!$T$17),1,0))</f>
        <v>1</v>
      </c>
      <c r="BM299" s="38" t="e">
        <f>IF(SUM(PCdb[[#This Row],[BDhit]:[THREAD_Lhit]])=11,1,0)</f>
        <v>#N/A</v>
      </c>
      <c r="BN29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66.738.1482060NA7M4NANA4</v>
      </c>
      <c r="BO299" s="38" t="e">
        <f>SUM(PCdb[[#This Row],[BDhit]:[THREAD_Lhit]])</f>
        <v>#N/A</v>
      </c>
    </row>
    <row r="300" spans="1:67" x14ac:dyDescent="0.25">
      <c r="A300" s="7">
        <v>307</v>
      </c>
      <c r="B300" s="93">
        <v>55</v>
      </c>
      <c r="C300" s="93">
        <v>26</v>
      </c>
      <c r="D300" s="93">
        <v>4</v>
      </c>
      <c r="E300" s="93">
        <v>10</v>
      </c>
      <c r="F300" s="93">
        <v>26</v>
      </c>
      <c r="G300" s="93">
        <v>45</v>
      </c>
      <c r="H300" s="93" t="s">
        <v>87</v>
      </c>
      <c r="I300" s="93">
        <v>6</v>
      </c>
      <c r="J300" s="93" t="s">
        <v>105</v>
      </c>
      <c r="K300" s="93" t="s">
        <v>87</v>
      </c>
      <c r="L300" s="93" t="s">
        <v>87</v>
      </c>
      <c r="M300" s="93">
        <v>4</v>
      </c>
      <c r="N300" s="38" t="s">
        <v>105</v>
      </c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>
        <v>20</v>
      </c>
      <c r="AQ300" s="38" t="s">
        <v>87</v>
      </c>
      <c r="AR300" s="38" t="s">
        <v>130</v>
      </c>
      <c r="AS300" s="38" t="s">
        <v>176</v>
      </c>
      <c r="AT300" s="38">
        <v>45</v>
      </c>
      <c r="AU300" s="38">
        <v>90</v>
      </c>
      <c r="AV300" s="38"/>
      <c r="AW300" s="38"/>
      <c r="AX300" s="38"/>
      <c r="AY300" s="38"/>
      <c r="AZ300" s="38"/>
      <c r="BA300" s="38"/>
      <c r="BB300" s="38">
        <f>IF(AND(PCdb[[#This Row],[BCD]]&gt;UIoptions!$S$10,PCdb[[#This Row],[BCD]]&lt;UIoptions!$T$10),1,0)</f>
        <v>0</v>
      </c>
      <c r="BC300" s="38">
        <f>IF(AND(PCdb[[#This Row],[PD]]&gt;UIoptions!$S$11,PCdb[[#This Row],[PD]]&lt;UIoptions!$T$11),1,0)</f>
        <v>0</v>
      </c>
      <c r="BD300" s="38">
        <f>IF(AND(UIoptions!$P$14&lt;=PCdb[[#This Row],[PL (MAX)]],UIoptions!$P$14&gt;UIoptions!$S$14),1,0)</f>
        <v>1</v>
      </c>
      <c r="BE300" s="38">
        <f>IF(AND(PCdb[[#This Row],[SD]]&gt;UIoptions!$S$12,PCdb[[#This Row],[SD]]&lt;UIoptions!$T$12),1,0)</f>
        <v>0</v>
      </c>
      <c r="BF300" s="38">
        <f>IF(AND(PCdb[[#This Row],[SL]]&gt;UIoptions!$S$13,PCdb[[#This Row],[SL]]&lt;UIoptions!$T$13),1,0)</f>
        <v>0</v>
      </c>
      <c r="BG300" s="38">
        <f>IF(UIoptions!$N$35=1,IF(AND(PCdb[[#This Row],[SQ_SZ]]&gt;UIoptions!$S$15,PCdb[[#This Row],[SQ_SZ]]&lt;UIoptions!$T$15),1,0),1)</f>
        <v>0</v>
      </c>
      <c r="BH300" s="38">
        <f>IF(UIoptions!$N$35=2,IF(AND(PCdb[[#This Row],[ROUND_D]]&gt;UIoptions!$S$15,PCdb[[#This Row],[ROUND_D]]&lt;UIoptions!$T$15),1,0),1)</f>
        <v>1</v>
      </c>
      <c r="BI300" s="38">
        <f>IF(UIoptions!$N$75&lt;&gt;1,1,IF(AND(PCdb[[#This Row],[FL]]&gt;UIoptions!$S$16,PCdb[[#This Row],[FL]]&lt;UIoptions!$T$16),1,0))</f>
        <v>0</v>
      </c>
      <c r="BJ300" s="38" t="e">
        <f>IF(OR(UIoptions!$Q$18=PCdb[[#This Row],[THRU_SCREW]],UIoptions!$Q$18="NA"),1,0)</f>
        <v>#N/A</v>
      </c>
      <c r="BK300" s="38">
        <f>IF(OR(UIoptions!$P$19=PCdb[[#This Row],[THREAD_SZ]],UIoptions!$P$19="NA"),1,0)</f>
        <v>1</v>
      </c>
      <c r="BL300" s="38">
        <f>IF(UIoptions!$N$75=1,1,IF(AND(PCdb[[#This Row],[THREAD_L]]&gt;UIoptions!$S$17,PCdb[[#This Row],[THREAD_L]]&lt;UIoptions!$T$17),1,0))</f>
        <v>1</v>
      </c>
      <c r="BM300" s="38" t="e">
        <f>IF(SUM(PCdb[[#This Row],[BDhit]:[THREAD_Lhit]])=11,1,0)</f>
        <v>#N/A</v>
      </c>
      <c r="BN30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55264102645NA6M3NANA4</v>
      </c>
      <c r="BO300" s="38" t="e">
        <f>SUM(PCdb[[#This Row],[BDhit]:[THREAD_Lhit]])</f>
        <v>#N/A</v>
      </c>
    </row>
    <row r="301" spans="1:67" x14ac:dyDescent="0.25">
      <c r="A301" s="7">
        <v>308</v>
      </c>
      <c r="B301" s="93">
        <v>90</v>
      </c>
      <c r="C301" s="93">
        <v>70</v>
      </c>
      <c r="D301" s="93">
        <v>4</v>
      </c>
      <c r="E301" s="93">
        <v>19</v>
      </c>
      <c r="F301" s="93">
        <v>40</v>
      </c>
      <c r="G301" s="93">
        <v>80</v>
      </c>
      <c r="H301" s="93" t="s">
        <v>87</v>
      </c>
      <c r="I301" s="93">
        <v>7</v>
      </c>
      <c r="J301" s="93" t="s">
        <v>49</v>
      </c>
      <c r="K301" s="93" t="s">
        <v>87</v>
      </c>
      <c r="L301" s="93" t="s">
        <v>87</v>
      </c>
      <c r="M301" s="93">
        <v>4</v>
      </c>
      <c r="N301" s="38" t="s">
        <v>49</v>
      </c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25">
        <v>45.2</v>
      </c>
      <c r="AD301" s="38">
        <v>37</v>
      </c>
      <c r="AE301" s="38" t="s">
        <v>87</v>
      </c>
      <c r="AF301" s="38" t="s">
        <v>130</v>
      </c>
      <c r="AG301" s="38" t="s">
        <v>172</v>
      </c>
      <c r="AH301" s="38">
        <v>45</v>
      </c>
      <c r="AI301" s="38">
        <v>90</v>
      </c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>
        <f>IF(AND(PCdb[[#This Row],[BCD]]&gt;UIoptions!$S$10,PCdb[[#This Row],[BCD]]&lt;UIoptions!$T$10),1,0)</f>
        <v>0</v>
      </c>
      <c r="BC301" s="38">
        <f>IF(AND(PCdb[[#This Row],[PD]]&gt;UIoptions!$S$11,PCdb[[#This Row],[PD]]&lt;UIoptions!$T$11),1,0)</f>
        <v>0</v>
      </c>
      <c r="BD301" s="38">
        <f>IF(AND(UIoptions!$P$14&lt;=PCdb[[#This Row],[PL (MAX)]],UIoptions!$P$14&gt;UIoptions!$S$14),1,0)</f>
        <v>1</v>
      </c>
      <c r="BE301" s="38">
        <f>IF(AND(PCdb[[#This Row],[SD]]&gt;UIoptions!$S$12,PCdb[[#This Row],[SD]]&lt;UIoptions!$T$12),1,0)</f>
        <v>0</v>
      </c>
      <c r="BF301" s="38">
        <f>IF(AND(PCdb[[#This Row],[SL]]&gt;UIoptions!$S$13,PCdb[[#This Row],[SL]]&lt;UIoptions!$T$13),1,0)</f>
        <v>0</v>
      </c>
      <c r="BG301" s="38">
        <f>IF(UIoptions!$N$35=1,IF(AND(PCdb[[#This Row],[SQ_SZ]]&gt;UIoptions!$S$15,PCdb[[#This Row],[SQ_SZ]]&lt;UIoptions!$T$15),1,0),1)</f>
        <v>0</v>
      </c>
      <c r="BH301" s="38">
        <f>IF(UIoptions!$N$35=2,IF(AND(PCdb[[#This Row],[ROUND_D]]&gt;UIoptions!$S$15,PCdb[[#This Row],[ROUND_D]]&lt;UIoptions!$T$15),1,0),1)</f>
        <v>1</v>
      </c>
      <c r="BI301" s="38">
        <f>IF(UIoptions!$N$75&lt;&gt;1,1,IF(AND(PCdb[[#This Row],[FL]]&gt;UIoptions!$S$16,PCdb[[#This Row],[FL]]&lt;UIoptions!$T$16),1,0))</f>
        <v>0</v>
      </c>
      <c r="BJ301" s="38" t="e">
        <f>IF(OR(UIoptions!$Q$18=PCdb[[#This Row],[THRU_SCREW]],UIoptions!$Q$18="NA"),1,0)</f>
        <v>#N/A</v>
      </c>
      <c r="BK301" s="38">
        <f>IF(OR(UIoptions!$P$19=PCdb[[#This Row],[THREAD_SZ]],UIoptions!$P$19="NA"),1,0)</f>
        <v>1</v>
      </c>
      <c r="BL301" s="38">
        <f>IF(UIoptions!$N$75=1,1,IF(AND(PCdb[[#This Row],[THREAD_L]]&gt;UIoptions!$S$17,PCdb[[#This Row],[THREAD_L]]&lt;UIoptions!$T$17),1,0))</f>
        <v>1</v>
      </c>
      <c r="BM301" s="38" t="e">
        <f>IF(SUM(PCdb[[#This Row],[BDhit]:[THREAD_Lhit]])=11,1,0)</f>
        <v>#N/A</v>
      </c>
      <c r="BN30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90704194080NA7M6NANA4</v>
      </c>
      <c r="BO301" s="38" t="e">
        <f>SUM(PCdb[[#This Row],[BDhit]:[THREAD_Lhit]])</f>
        <v>#N/A</v>
      </c>
    </row>
    <row r="302" spans="1:67" x14ac:dyDescent="0.25">
      <c r="A302" s="7">
        <v>309</v>
      </c>
      <c r="B302" s="93">
        <v>70.7</v>
      </c>
      <c r="C302" s="93">
        <v>50</v>
      </c>
      <c r="D302" s="93">
        <v>4</v>
      </c>
      <c r="E302" s="93">
        <v>8</v>
      </c>
      <c r="F302" s="93">
        <v>25</v>
      </c>
      <c r="G302" s="93">
        <v>61</v>
      </c>
      <c r="H302" s="93" t="s">
        <v>87</v>
      </c>
      <c r="I302" s="93">
        <v>7</v>
      </c>
      <c r="J302" s="93" t="s">
        <v>45</v>
      </c>
      <c r="K302" s="93" t="s">
        <v>87</v>
      </c>
      <c r="L302" s="93" t="s">
        <v>87</v>
      </c>
      <c r="M302" s="93">
        <v>4</v>
      </c>
      <c r="N302" s="38" t="s">
        <v>45</v>
      </c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>
        <v>27</v>
      </c>
      <c r="AK302" s="38" t="s">
        <v>87</v>
      </c>
      <c r="AL302" s="38" t="s">
        <v>130</v>
      </c>
      <c r="AM302" s="38" t="s">
        <v>177</v>
      </c>
      <c r="AN302" s="38">
        <v>45</v>
      </c>
      <c r="AO302" s="38">
        <v>90</v>
      </c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>
        <f>IF(AND(PCdb[[#This Row],[BCD]]&gt;UIoptions!$S$10,PCdb[[#This Row],[BCD]]&lt;UIoptions!$T$10),1,0)</f>
        <v>0</v>
      </c>
      <c r="BC302" s="38">
        <f>IF(AND(PCdb[[#This Row],[PD]]&gt;UIoptions!$S$11,PCdb[[#This Row],[PD]]&lt;UIoptions!$T$11),1,0)</f>
        <v>0</v>
      </c>
      <c r="BD302" s="38">
        <f>IF(AND(UIoptions!$P$14&lt;=PCdb[[#This Row],[PL (MAX)]],UIoptions!$P$14&gt;UIoptions!$S$14),1,0)</f>
        <v>1</v>
      </c>
      <c r="BE302" s="38">
        <f>IF(AND(PCdb[[#This Row],[SD]]&gt;UIoptions!$S$12,PCdb[[#This Row],[SD]]&lt;UIoptions!$T$12),1,0)</f>
        <v>0</v>
      </c>
      <c r="BF302" s="38">
        <f>IF(AND(PCdb[[#This Row],[SL]]&gt;UIoptions!$S$13,PCdb[[#This Row],[SL]]&lt;UIoptions!$T$13),1,0)</f>
        <v>0</v>
      </c>
      <c r="BG302" s="38">
        <f>IF(UIoptions!$N$35=1,IF(AND(PCdb[[#This Row],[SQ_SZ]]&gt;UIoptions!$S$15,PCdb[[#This Row],[SQ_SZ]]&lt;UIoptions!$T$15),1,0),1)</f>
        <v>0</v>
      </c>
      <c r="BH302" s="38">
        <f>IF(UIoptions!$N$35=2,IF(AND(PCdb[[#This Row],[ROUND_D]]&gt;UIoptions!$S$15,PCdb[[#This Row],[ROUND_D]]&lt;UIoptions!$T$15),1,0),1)</f>
        <v>1</v>
      </c>
      <c r="BI302" s="38">
        <f>IF(UIoptions!$N$75&lt;&gt;1,1,IF(AND(PCdb[[#This Row],[FL]]&gt;UIoptions!$S$16,PCdb[[#This Row],[FL]]&lt;UIoptions!$T$16),1,0))</f>
        <v>0</v>
      </c>
      <c r="BJ302" s="38" t="e">
        <f>IF(OR(UIoptions!$Q$18=PCdb[[#This Row],[THRU_SCREW]],UIoptions!$Q$18="NA"),1,0)</f>
        <v>#N/A</v>
      </c>
      <c r="BK302" s="38">
        <f>IF(OR(UIoptions!$P$19=PCdb[[#This Row],[THREAD_SZ]],UIoptions!$P$19="NA"),1,0)</f>
        <v>1</v>
      </c>
      <c r="BL302" s="38">
        <f>IF(UIoptions!$N$75=1,1,IF(AND(PCdb[[#This Row],[THREAD_L]]&gt;UIoptions!$S$17,PCdb[[#This Row],[THREAD_L]]&lt;UIoptions!$T$17),1,0))</f>
        <v>1</v>
      </c>
      <c r="BM302" s="38" t="e">
        <f>IF(SUM(PCdb[[#This Row],[BDhit]:[THREAD_Lhit]])=11,1,0)</f>
        <v>#N/A</v>
      </c>
      <c r="BN30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70.750482561NA7M5NANA4</v>
      </c>
      <c r="BO302" s="38" t="e">
        <f>SUM(PCdb[[#This Row],[BDhit]:[THREAD_Lhit]])</f>
        <v>#N/A</v>
      </c>
    </row>
    <row r="303" spans="1:67" x14ac:dyDescent="0.25">
      <c r="A303" s="7">
        <v>310</v>
      </c>
      <c r="B303" s="93">
        <v>52</v>
      </c>
      <c r="C303" s="93">
        <v>40</v>
      </c>
      <c r="D303" s="93">
        <v>4</v>
      </c>
      <c r="E303" s="93">
        <v>15</v>
      </c>
      <c r="F303" s="93">
        <v>40</v>
      </c>
      <c r="G303" s="93">
        <v>63</v>
      </c>
      <c r="H303" s="93" t="s">
        <v>87</v>
      </c>
      <c r="I303" s="93" t="s">
        <v>87</v>
      </c>
      <c r="J303" s="93" t="s">
        <v>87</v>
      </c>
      <c r="K303" s="93" t="s">
        <v>7</v>
      </c>
      <c r="L303" s="93">
        <v>15</v>
      </c>
      <c r="M303" s="93">
        <v>4</v>
      </c>
      <c r="N303" s="38">
        <v>5</v>
      </c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 t="s">
        <v>87</v>
      </c>
      <c r="AW303" s="38" t="s">
        <v>87</v>
      </c>
      <c r="AX303" s="38" t="s">
        <v>130</v>
      </c>
      <c r="AY303" s="38" t="s">
        <v>281</v>
      </c>
      <c r="AZ303" s="38">
        <v>0</v>
      </c>
      <c r="BA303" s="38">
        <v>90</v>
      </c>
      <c r="BB303" s="38">
        <f>IF(AND(PCdb[[#This Row],[BCD]]&gt;UIoptions!$S$10,PCdb[[#This Row],[BCD]]&lt;UIoptions!$T$10),1,0)</f>
        <v>0</v>
      </c>
      <c r="BC303" s="38">
        <f>IF(AND(PCdb[[#This Row],[PD]]&gt;UIoptions!$S$11,PCdb[[#This Row],[PD]]&lt;UIoptions!$T$11),1,0)</f>
        <v>0</v>
      </c>
      <c r="BD303" s="38">
        <f>IF(AND(UIoptions!$P$14&lt;=PCdb[[#This Row],[PL (MAX)]],UIoptions!$P$14&gt;UIoptions!$S$14),1,0)</f>
        <v>1</v>
      </c>
      <c r="BE303" s="38">
        <f>IF(AND(PCdb[[#This Row],[SD]]&gt;UIoptions!$S$12,PCdb[[#This Row],[SD]]&lt;UIoptions!$T$12),1,0)</f>
        <v>0</v>
      </c>
      <c r="BF303" s="38">
        <f>IF(AND(PCdb[[#This Row],[SL]]&gt;UIoptions!$S$13,PCdb[[#This Row],[SL]]&lt;UIoptions!$T$13),1,0)</f>
        <v>0</v>
      </c>
      <c r="BG303" s="38">
        <f>IF(UIoptions!$N$35=1,IF(AND(PCdb[[#This Row],[SQ_SZ]]&gt;UIoptions!$S$15,PCdb[[#This Row],[SQ_SZ]]&lt;UIoptions!$T$15),1,0),1)</f>
        <v>0</v>
      </c>
      <c r="BH303" s="38">
        <f>IF(UIoptions!$N$35=2,IF(AND(PCdb[[#This Row],[ROUND_D]]&gt;UIoptions!$S$15,PCdb[[#This Row],[ROUND_D]]&lt;UIoptions!$T$15),1,0),1)</f>
        <v>1</v>
      </c>
      <c r="BI303" s="38">
        <f>IF(UIoptions!$N$75&lt;&gt;1,1,IF(AND(PCdb[[#This Row],[FL]]&gt;UIoptions!$S$16,PCdb[[#This Row],[FL]]&lt;UIoptions!$T$16),1,0))</f>
        <v>0</v>
      </c>
      <c r="BJ303" s="38" t="e">
        <f>IF(OR(UIoptions!$Q$18=PCdb[[#This Row],[THRU_SCREW]],UIoptions!$Q$18="NA"),1,0)</f>
        <v>#N/A</v>
      </c>
      <c r="BK303" s="38">
        <f>IF(OR(UIoptions!$P$19=PCdb[[#This Row],[THREAD_SZ]],UIoptions!$P$19="NA"),1,0)</f>
        <v>1</v>
      </c>
      <c r="BL303" s="38">
        <f>IF(UIoptions!$N$75=1,1,IF(AND(PCdb[[#This Row],[THREAD_L]]&gt;UIoptions!$S$17,PCdb[[#This Row],[THREAD_L]]&lt;UIoptions!$T$17),1,0))</f>
        <v>1</v>
      </c>
      <c r="BM303" s="38" t="e">
        <f>IF(SUM(PCdb[[#This Row],[BDhit]:[THREAD_Lhit]])=11,1,0)</f>
        <v>#N/A</v>
      </c>
      <c r="BN30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52404154063NANANAM4154</v>
      </c>
      <c r="BO303" s="38" t="e">
        <f>SUM(PCdb[[#This Row],[BDhit]:[THREAD_Lhit]])</f>
        <v>#N/A</v>
      </c>
    </row>
    <row r="304" spans="1:67" x14ac:dyDescent="0.25">
      <c r="A304" s="7">
        <v>311</v>
      </c>
      <c r="B304" s="93">
        <v>43.8</v>
      </c>
      <c r="C304" s="93">
        <v>22</v>
      </c>
      <c r="D304" s="93">
        <v>4</v>
      </c>
      <c r="E304" s="93">
        <v>5</v>
      </c>
      <c r="F304" s="93">
        <v>20</v>
      </c>
      <c r="G304" s="93">
        <v>42</v>
      </c>
      <c r="H304" s="93" t="s">
        <v>87</v>
      </c>
      <c r="I304" s="93" t="s">
        <v>87</v>
      </c>
      <c r="J304" s="93" t="s">
        <v>87</v>
      </c>
      <c r="K304" s="93" t="s">
        <v>105</v>
      </c>
      <c r="L304" s="93">
        <v>3.5</v>
      </c>
      <c r="M304" s="93">
        <v>4</v>
      </c>
      <c r="N304" s="38">
        <v>4</v>
      </c>
      <c r="O304" s="25">
        <v>38.700000000000003</v>
      </c>
      <c r="P304" s="38" t="s">
        <v>87</v>
      </c>
      <c r="Q304" s="38" t="s">
        <v>87</v>
      </c>
      <c r="R304" s="38" t="s">
        <v>130</v>
      </c>
      <c r="S304" s="38" t="s">
        <v>279</v>
      </c>
      <c r="T304" s="38">
        <v>45</v>
      </c>
      <c r="U304" s="38">
        <v>90</v>
      </c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>
        <f>IF(AND(PCdb[[#This Row],[BCD]]&gt;UIoptions!$S$10,PCdb[[#This Row],[BCD]]&lt;UIoptions!$T$10),1,0)</f>
        <v>0</v>
      </c>
      <c r="BC304" s="38">
        <f>IF(AND(PCdb[[#This Row],[PD]]&gt;UIoptions!$S$11,PCdb[[#This Row],[PD]]&lt;UIoptions!$T$11),1,0)</f>
        <v>0</v>
      </c>
      <c r="BD304" s="38">
        <f>IF(AND(UIoptions!$P$14&lt;=PCdb[[#This Row],[PL (MAX)]],UIoptions!$P$14&gt;UIoptions!$S$14),1,0)</f>
        <v>1</v>
      </c>
      <c r="BE304" s="38">
        <f>IF(AND(PCdb[[#This Row],[SD]]&gt;UIoptions!$S$12,PCdb[[#This Row],[SD]]&lt;UIoptions!$T$12),1,0)</f>
        <v>0</v>
      </c>
      <c r="BF304" s="38">
        <f>IF(AND(PCdb[[#This Row],[SL]]&gt;UIoptions!$S$13,PCdb[[#This Row],[SL]]&lt;UIoptions!$T$13),1,0)</f>
        <v>0</v>
      </c>
      <c r="BG304" s="38">
        <f>IF(UIoptions!$N$35=1,IF(AND(PCdb[[#This Row],[SQ_SZ]]&gt;UIoptions!$S$15,PCdb[[#This Row],[SQ_SZ]]&lt;UIoptions!$T$15),1,0),1)</f>
        <v>0</v>
      </c>
      <c r="BH304" s="38">
        <f>IF(UIoptions!$N$35=2,IF(AND(PCdb[[#This Row],[ROUND_D]]&gt;UIoptions!$S$15,PCdb[[#This Row],[ROUND_D]]&lt;UIoptions!$T$15),1,0),1)</f>
        <v>1</v>
      </c>
      <c r="BI304" s="38">
        <f>IF(UIoptions!$N$75&lt;&gt;1,1,IF(AND(PCdb[[#This Row],[FL]]&gt;UIoptions!$S$16,PCdb[[#This Row],[FL]]&lt;UIoptions!$T$16),1,0))</f>
        <v>0</v>
      </c>
      <c r="BJ304" s="38" t="e">
        <f>IF(OR(UIoptions!$Q$18=PCdb[[#This Row],[THRU_SCREW]],UIoptions!$Q$18="NA"),1,0)</f>
        <v>#N/A</v>
      </c>
      <c r="BK304" s="38">
        <f>IF(OR(UIoptions!$P$19=PCdb[[#This Row],[THREAD_SZ]],UIoptions!$P$19="NA"),1,0)</f>
        <v>1</v>
      </c>
      <c r="BL304" s="38">
        <f>IF(UIoptions!$N$75=1,1,IF(AND(PCdb[[#This Row],[THREAD_L]]&gt;UIoptions!$S$17,PCdb[[#This Row],[THREAD_L]]&lt;UIoptions!$T$17),1,0))</f>
        <v>1</v>
      </c>
      <c r="BM304" s="38" t="e">
        <f>IF(SUM(PCdb[[#This Row],[BDhit]:[THREAD_Lhit]])=11,1,0)</f>
        <v>#N/A</v>
      </c>
      <c r="BN30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43.822452042NANANAM33.54</v>
      </c>
      <c r="BO304" s="38" t="e">
        <f>SUM(PCdb[[#This Row],[BDhit]:[THREAD_Lhit]])</f>
        <v>#N/A</v>
      </c>
    </row>
    <row r="305" spans="1:67" x14ac:dyDescent="0.25">
      <c r="A305" s="7">
        <v>312</v>
      </c>
      <c r="B305" s="93">
        <v>70</v>
      </c>
      <c r="C305" s="93">
        <v>50</v>
      </c>
      <c r="D305" s="93">
        <v>4</v>
      </c>
      <c r="E305" s="93">
        <v>16</v>
      </c>
      <c r="F305" s="93">
        <v>30</v>
      </c>
      <c r="G305" s="93">
        <v>60</v>
      </c>
      <c r="H305" s="93" t="s">
        <v>87</v>
      </c>
      <c r="I305" s="93">
        <v>7</v>
      </c>
      <c r="J305" s="93" t="s">
        <v>45</v>
      </c>
      <c r="K305" s="93" t="s">
        <v>87</v>
      </c>
      <c r="L305" s="93" t="s">
        <v>87</v>
      </c>
      <c r="M305" s="93">
        <v>4</v>
      </c>
      <c r="N305" s="38" t="s">
        <v>45</v>
      </c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>
        <v>28</v>
      </c>
      <c r="AW305" s="38" t="s">
        <v>87</v>
      </c>
      <c r="AX305" s="38" t="s">
        <v>130</v>
      </c>
      <c r="AY305" s="38" t="s">
        <v>176</v>
      </c>
      <c r="AZ305" s="38">
        <v>45</v>
      </c>
      <c r="BA305" s="38">
        <v>90</v>
      </c>
      <c r="BB305" s="38">
        <f>IF(AND(PCdb[[#This Row],[BCD]]&gt;UIoptions!$S$10,PCdb[[#This Row],[BCD]]&lt;UIoptions!$T$10),1,0)</f>
        <v>0</v>
      </c>
      <c r="BC305" s="38">
        <f>IF(AND(PCdb[[#This Row],[PD]]&gt;UIoptions!$S$11,PCdb[[#This Row],[PD]]&lt;UIoptions!$T$11),1,0)</f>
        <v>0</v>
      </c>
      <c r="BD305" s="38">
        <f>IF(AND(UIoptions!$P$14&lt;=PCdb[[#This Row],[PL (MAX)]],UIoptions!$P$14&gt;UIoptions!$S$14),1,0)</f>
        <v>1</v>
      </c>
      <c r="BE305" s="38">
        <f>IF(AND(PCdb[[#This Row],[SD]]&gt;UIoptions!$S$12,PCdb[[#This Row],[SD]]&lt;UIoptions!$T$12),1,0)</f>
        <v>0</v>
      </c>
      <c r="BF305" s="38">
        <f>IF(AND(PCdb[[#This Row],[SL]]&gt;UIoptions!$S$13,PCdb[[#This Row],[SL]]&lt;UIoptions!$T$13),1,0)</f>
        <v>0</v>
      </c>
      <c r="BG305" s="38">
        <f>IF(UIoptions!$N$35=1,IF(AND(PCdb[[#This Row],[SQ_SZ]]&gt;UIoptions!$S$15,PCdb[[#This Row],[SQ_SZ]]&lt;UIoptions!$T$15),1,0),1)</f>
        <v>0</v>
      </c>
      <c r="BH305" s="38">
        <f>IF(UIoptions!$N$35=2,IF(AND(PCdb[[#This Row],[ROUND_D]]&gt;UIoptions!$S$15,PCdb[[#This Row],[ROUND_D]]&lt;UIoptions!$T$15),1,0),1)</f>
        <v>1</v>
      </c>
      <c r="BI305" s="38">
        <f>IF(UIoptions!$N$75&lt;&gt;1,1,IF(AND(PCdb[[#This Row],[FL]]&gt;UIoptions!$S$16,PCdb[[#This Row],[FL]]&lt;UIoptions!$T$16),1,0))</f>
        <v>0</v>
      </c>
      <c r="BJ305" s="38" t="e">
        <f>IF(OR(UIoptions!$Q$18=PCdb[[#This Row],[THRU_SCREW]],UIoptions!$Q$18="NA"),1,0)</f>
        <v>#N/A</v>
      </c>
      <c r="BK305" s="38">
        <f>IF(OR(UIoptions!$P$19=PCdb[[#This Row],[THREAD_SZ]],UIoptions!$P$19="NA"),1,0)</f>
        <v>1</v>
      </c>
      <c r="BL305" s="38">
        <f>IF(UIoptions!$N$75=1,1,IF(AND(PCdb[[#This Row],[THREAD_L]]&gt;UIoptions!$S$17,PCdb[[#This Row],[THREAD_L]]&lt;UIoptions!$T$17),1,0))</f>
        <v>1</v>
      </c>
      <c r="BM305" s="38" t="e">
        <f>IF(SUM(PCdb[[#This Row],[BDhit]:[THREAD_Lhit]])=11,1,0)</f>
        <v>#N/A</v>
      </c>
      <c r="BN30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70504163060NA7M5NANA4</v>
      </c>
      <c r="BO305" s="38" t="e">
        <f>SUM(PCdb[[#This Row],[BDhit]:[THREAD_Lhit]])</f>
        <v>#N/A</v>
      </c>
    </row>
    <row r="306" spans="1:67" x14ac:dyDescent="0.25">
      <c r="A306" s="7">
        <v>313</v>
      </c>
      <c r="B306" s="93">
        <v>89.9</v>
      </c>
      <c r="C306" s="93">
        <v>70</v>
      </c>
      <c r="D306" s="93">
        <v>4</v>
      </c>
      <c r="E306" s="93">
        <v>16</v>
      </c>
      <c r="F306" s="93">
        <v>35</v>
      </c>
      <c r="G306" s="93">
        <v>80</v>
      </c>
      <c r="H306" s="93" t="s">
        <v>87</v>
      </c>
      <c r="I306" s="93">
        <v>10.5</v>
      </c>
      <c r="J306" s="93" t="s">
        <v>49</v>
      </c>
      <c r="K306" s="93" t="s">
        <v>87</v>
      </c>
      <c r="L306" s="93" t="s">
        <v>87</v>
      </c>
      <c r="M306" s="93">
        <v>4</v>
      </c>
      <c r="N306" s="38" t="s">
        <v>49</v>
      </c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>
        <v>37.5</v>
      </c>
      <c r="AW306" s="38" t="s">
        <v>87</v>
      </c>
      <c r="AX306" s="38" t="s">
        <v>130</v>
      </c>
      <c r="AY306" s="38" t="s">
        <v>177</v>
      </c>
      <c r="AZ306" s="38">
        <v>45</v>
      </c>
      <c r="BA306" s="38">
        <v>90</v>
      </c>
      <c r="BB306" s="38">
        <f>IF(AND(PCdb[[#This Row],[BCD]]&gt;UIoptions!$S$10,PCdb[[#This Row],[BCD]]&lt;UIoptions!$T$10),1,0)</f>
        <v>0</v>
      </c>
      <c r="BC306" s="38">
        <f>IF(AND(PCdb[[#This Row],[PD]]&gt;UIoptions!$S$11,PCdb[[#This Row],[PD]]&lt;UIoptions!$T$11),1,0)</f>
        <v>0</v>
      </c>
      <c r="BD306" s="38">
        <f>IF(AND(UIoptions!$P$14&lt;=PCdb[[#This Row],[PL (MAX)]],UIoptions!$P$14&gt;UIoptions!$S$14),1,0)</f>
        <v>1</v>
      </c>
      <c r="BE306" s="38">
        <f>IF(AND(PCdb[[#This Row],[SD]]&gt;UIoptions!$S$12,PCdb[[#This Row],[SD]]&lt;UIoptions!$T$12),1,0)</f>
        <v>0</v>
      </c>
      <c r="BF306" s="38">
        <f>IF(AND(PCdb[[#This Row],[SL]]&gt;UIoptions!$S$13,PCdb[[#This Row],[SL]]&lt;UIoptions!$T$13),1,0)</f>
        <v>0</v>
      </c>
      <c r="BG306" s="38">
        <f>IF(UIoptions!$N$35=1,IF(AND(PCdb[[#This Row],[SQ_SZ]]&gt;UIoptions!$S$15,PCdb[[#This Row],[SQ_SZ]]&lt;UIoptions!$T$15),1,0),1)</f>
        <v>0</v>
      </c>
      <c r="BH306" s="38">
        <f>IF(UIoptions!$N$35=2,IF(AND(PCdb[[#This Row],[ROUND_D]]&gt;UIoptions!$S$15,PCdb[[#This Row],[ROUND_D]]&lt;UIoptions!$T$15),1,0),1)</f>
        <v>1</v>
      </c>
      <c r="BI306" s="38">
        <f>IF(UIoptions!$N$75&lt;&gt;1,1,IF(AND(PCdb[[#This Row],[FL]]&gt;UIoptions!$S$16,PCdb[[#This Row],[FL]]&lt;UIoptions!$T$16),1,0))</f>
        <v>0</v>
      </c>
      <c r="BJ306" s="38" t="e">
        <f>IF(OR(UIoptions!$Q$18=PCdb[[#This Row],[THRU_SCREW]],UIoptions!$Q$18="NA"),1,0)</f>
        <v>#N/A</v>
      </c>
      <c r="BK306" s="38">
        <f>IF(OR(UIoptions!$P$19=PCdb[[#This Row],[THREAD_SZ]],UIoptions!$P$19="NA"),1,0)</f>
        <v>1</v>
      </c>
      <c r="BL306" s="38">
        <f>IF(UIoptions!$N$75=1,1,IF(AND(PCdb[[#This Row],[THREAD_L]]&gt;UIoptions!$S$17,PCdb[[#This Row],[THREAD_L]]&lt;UIoptions!$T$17),1,0))</f>
        <v>1</v>
      </c>
      <c r="BM306" s="38" t="e">
        <f>IF(SUM(PCdb[[#This Row],[BDhit]:[THREAD_Lhit]])=11,1,0)</f>
        <v>#N/A</v>
      </c>
      <c r="BN30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89.9704163580NA10.5M6NANA4</v>
      </c>
      <c r="BO306" s="38" t="e">
        <f>SUM(PCdb[[#This Row],[BDhit]:[THREAD_Lhit]])</f>
        <v>#N/A</v>
      </c>
    </row>
    <row r="307" spans="1:67" x14ac:dyDescent="0.25">
      <c r="A307" s="7">
        <v>314</v>
      </c>
      <c r="B307" s="93">
        <v>70.7</v>
      </c>
      <c r="C307" s="93">
        <v>36</v>
      </c>
      <c r="D307" s="93">
        <v>4</v>
      </c>
      <c r="E307" s="93">
        <v>6.35</v>
      </c>
      <c r="F307" s="93">
        <v>20.6</v>
      </c>
      <c r="G307" s="93">
        <v>60</v>
      </c>
      <c r="H307" s="93" t="s">
        <v>87</v>
      </c>
      <c r="I307" s="93">
        <v>6</v>
      </c>
      <c r="J307" s="93" t="s">
        <v>7</v>
      </c>
      <c r="K307" s="93" t="s">
        <v>87</v>
      </c>
      <c r="L307" s="93" t="s">
        <v>87</v>
      </c>
      <c r="M307" s="93">
        <v>4</v>
      </c>
      <c r="N307" s="38" t="s">
        <v>7</v>
      </c>
      <c r="O307" s="25">
        <v>38.700000000000003</v>
      </c>
      <c r="P307" s="38">
        <v>22</v>
      </c>
      <c r="Q307" s="38" t="s">
        <v>87</v>
      </c>
      <c r="R307" s="38" t="s">
        <v>130</v>
      </c>
      <c r="S307" s="38" t="s">
        <v>172</v>
      </c>
      <c r="T307" s="38">
        <v>45</v>
      </c>
      <c r="U307" s="38">
        <v>90</v>
      </c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>
        <f>IF(AND(PCdb[[#This Row],[BCD]]&gt;UIoptions!$S$10,PCdb[[#This Row],[BCD]]&lt;UIoptions!$T$10),1,0)</f>
        <v>0</v>
      </c>
      <c r="BC307" s="38">
        <f>IF(AND(PCdb[[#This Row],[PD]]&gt;UIoptions!$S$11,PCdb[[#This Row],[PD]]&lt;UIoptions!$T$11),1,0)</f>
        <v>0</v>
      </c>
      <c r="BD307" s="38">
        <f>IF(AND(UIoptions!$P$14&lt;=PCdb[[#This Row],[PL (MAX)]],UIoptions!$P$14&gt;UIoptions!$S$14),1,0)</f>
        <v>1</v>
      </c>
      <c r="BE307" s="38">
        <f>IF(AND(PCdb[[#This Row],[SD]]&gt;UIoptions!$S$12,PCdb[[#This Row],[SD]]&lt;UIoptions!$T$12),1,0)</f>
        <v>0</v>
      </c>
      <c r="BF307" s="38">
        <f>IF(AND(PCdb[[#This Row],[SL]]&gt;UIoptions!$S$13,PCdb[[#This Row],[SL]]&lt;UIoptions!$T$13),1,0)</f>
        <v>0</v>
      </c>
      <c r="BG307" s="38">
        <f>IF(UIoptions!$N$35=1,IF(AND(PCdb[[#This Row],[SQ_SZ]]&gt;UIoptions!$S$15,PCdb[[#This Row],[SQ_SZ]]&lt;UIoptions!$T$15),1,0),1)</f>
        <v>0</v>
      </c>
      <c r="BH307" s="38">
        <f>IF(UIoptions!$N$35=2,IF(AND(PCdb[[#This Row],[ROUND_D]]&gt;UIoptions!$S$15,PCdb[[#This Row],[ROUND_D]]&lt;UIoptions!$T$15),1,0),1)</f>
        <v>1</v>
      </c>
      <c r="BI307" s="38">
        <f>IF(UIoptions!$N$75&lt;&gt;1,1,IF(AND(PCdb[[#This Row],[FL]]&gt;UIoptions!$S$16,PCdb[[#This Row],[FL]]&lt;UIoptions!$T$16),1,0))</f>
        <v>0</v>
      </c>
      <c r="BJ307" s="38" t="e">
        <f>IF(OR(UIoptions!$Q$18=PCdb[[#This Row],[THRU_SCREW]],UIoptions!$Q$18="NA"),1,0)</f>
        <v>#N/A</v>
      </c>
      <c r="BK307" s="38">
        <f>IF(OR(UIoptions!$P$19=PCdb[[#This Row],[THREAD_SZ]],UIoptions!$P$19="NA"),1,0)</f>
        <v>1</v>
      </c>
      <c r="BL307" s="38">
        <f>IF(UIoptions!$N$75=1,1,IF(AND(PCdb[[#This Row],[THREAD_L]]&gt;UIoptions!$S$17,PCdb[[#This Row],[THREAD_L]]&lt;UIoptions!$T$17),1,0))</f>
        <v>1</v>
      </c>
      <c r="BM307" s="38" t="e">
        <f>IF(SUM(PCdb[[#This Row],[BDhit]:[THREAD_Lhit]])=11,1,0)</f>
        <v>#N/A</v>
      </c>
      <c r="BN30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70.73646.3520.660NA6M4NANA4</v>
      </c>
      <c r="BO307" s="38" t="e">
        <f>SUM(PCdb[[#This Row],[BDhit]:[THREAD_Lhit]])</f>
        <v>#N/A</v>
      </c>
    </row>
    <row r="308" spans="1:67" x14ac:dyDescent="0.25">
      <c r="A308" s="7">
        <v>315</v>
      </c>
      <c r="B308" s="93">
        <v>90</v>
      </c>
      <c r="C308" s="93">
        <v>70</v>
      </c>
      <c r="D308" s="93">
        <v>4</v>
      </c>
      <c r="E308" s="93">
        <v>19</v>
      </c>
      <c r="F308" s="93">
        <v>35</v>
      </c>
      <c r="G308" s="93">
        <v>80</v>
      </c>
      <c r="H308" s="93" t="s">
        <v>87</v>
      </c>
      <c r="I308" s="93">
        <v>10</v>
      </c>
      <c r="J308" s="93" t="s">
        <v>45</v>
      </c>
      <c r="K308" s="93" t="s">
        <v>87</v>
      </c>
      <c r="L308" s="93" t="s">
        <v>87</v>
      </c>
      <c r="M308" s="93">
        <v>4</v>
      </c>
      <c r="N308" s="38" t="s">
        <v>45</v>
      </c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25">
        <v>48.7</v>
      </c>
      <c r="AD308" s="38">
        <v>37</v>
      </c>
      <c r="AE308" s="38" t="s">
        <v>87</v>
      </c>
      <c r="AF308" s="38" t="s">
        <v>130</v>
      </c>
      <c r="AG308" s="38" t="s">
        <v>172</v>
      </c>
      <c r="AH308" s="38">
        <v>45</v>
      </c>
      <c r="AI308" s="38">
        <v>90</v>
      </c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>
        <f>IF(AND(PCdb[[#This Row],[BCD]]&gt;UIoptions!$S$10,PCdb[[#This Row],[BCD]]&lt;UIoptions!$T$10),1,0)</f>
        <v>0</v>
      </c>
      <c r="BC308" s="38">
        <f>IF(AND(PCdb[[#This Row],[PD]]&gt;UIoptions!$S$11,PCdb[[#This Row],[PD]]&lt;UIoptions!$T$11),1,0)</f>
        <v>0</v>
      </c>
      <c r="BD308" s="38">
        <f>IF(AND(UIoptions!$P$14&lt;=PCdb[[#This Row],[PL (MAX)]],UIoptions!$P$14&gt;UIoptions!$S$14),1,0)</f>
        <v>1</v>
      </c>
      <c r="BE308" s="38">
        <f>IF(AND(PCdb[[#This Row],[SD]]&gt;UIoptions!$S$12,PCdb[[#This Row],[SD]]&lt;UIoptions!$T$12),1,0)</f>
        <v>0</v>
      </c>
      <c r="BF308" s="38">
        <f>IF(AND(PCdb[[#This Row],[SL]]&gt;UIoptions!$S$13,PCdb[[#This Row],[SL]]&lt;UIoptions!$T$13),1,0)</f>
        <v>0</v>
      </c>
      <c r="BG308" s="38">
        <f>IF(UIoptions!$N$35=1,IF(AND(PCdb[[#This Row],[SQ_SZ]]&gt;UIoptions!$S$15,PCdb[[#This Row],[SQ_SZ]]&lt;UIoptions!$T$15),1,0),1)</f>
        <v>0</v>
      </c>
      <c r="BH308" s="38">
        <f>IF(UIoptions!$N$35=2,IF(AND(PCdb[[#This Row],[ROUND_D]]&gt;UIoptions!$S$15,PCdb[[#This Row],[ROUND_D]]&lt;UIoptions!$T$15),1,0),1)</f>
        <v>1</v>
      </c>
      <c r="BI308" s="38">
        <f>IF(UIoptions!$N$75&lt;&gt;1,1,IF(AND(PCdb[[#This Row],[FL]]&gt;UIoptions!$S$16,PCdb[[#This Row],[FL]]&lt;UIoptions!$T$16),1,0))</f>
        <v>0</v>
      </c>
      <c r="BJ308" s="38" t="e">
        <f>IF(OR(UIoptions!$Q$18=PCdb[[#This Row],[THRU_SCREW]],UIoptions!$Q$18="NA"),1,0)</f>
        <v>#N/A</v>
      </c>
      <c r="BK308" s="38">
        <f>IF(OR(UIoptions!$P$19=PCdb[[#This Row],[THREAD_SZ]],UIoptions!$P$19="NA"),1,0)</f>
        <v>1</v>
      </c>
      <c r="BL308" s="38">
        <f>IF(UIoptions!$N$75=1,1,IF(AND(PCdb[[#This Row],[THREAD_L]]&gt;UIoptions!$S$17,PCdb[[#This Row],[THREAD_L]]&lt;UIoptions!$T$17),1,0))</f>
        <v>1</v>
      </c>
      <c r="BM308" s="38" t="e">
        <f>IF(SUM(PCdb[[#This Row],[BDhit]:[THREAD_Lhit]])=11,1,0)</f>
        <v>#N/A</v>
      </c>
      <c r="BN30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90704193580NA10M5NANA4</v>
      </c>
      <c r="BO308" s="38" t="e">
        <f>SUM(PCdb[[#This Row],[BDhit]:[THREAD_Lhit]])</f>
        <v>#N/A</v>
      </c>
    </row>
    <row r="309" spans="1:67" x14ac:dyDescent="0.25">
      <c r="A309" s="7">
        <v>316</v>
      </c>
      <c r="B309" s="93">
        <v>90</v>
      </c>
      <c r="C309" s="93">
        <v>70</v>
      </c>
      <c r="D309" s="93">
        <v>4</v>
      </c>
      <c r="E309" s="93">
        <v>19</v>
      </c>
      <c r="F309" s="93">
        <v>40</v>
      </c>
      <c r="G309" s="93">
        <v>80</v>
      </c>
      <c r="H309" s="93" t="s">
        <v>87</v>
      </c>
      <c r="I309" s="93">
        <v>6.5</v>
      </c>
      <c r="J309" s="93" t="s">
        <v>49</v>
      </c>
      <c r="K309" s="93" t="s">
        <v>87</v>
      </c>
      <c r="L309" s="93" t="s">
        <v>87</v>
      </c>
      <c r="M309" s="93">
        <v>4</v>
      </c>
      <c r="N309" s="38" t="s">
        <v>49</v>
      </c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25">
        <v>45.2</v>
      </c>
      <c r="AD309" s="38">
        <v>37</v>
      </c>
      <c r="AE309" s="38" t="s">
        <v>87</v>
      </c>
      <c r="AF309" s="38" t="s">
        <v>130</v>
      </c>
      <c r="AG309" s="38" t="s">
        <v>172</v>
      </c>
      <c r="AH309" s="38">
        <v>45</v>
      </c>
      <c r="AI309" s="38">
        <v>90</v>
      </c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>
        <f>IF(AND(PCdb[[#This Row],[BCD]]&gt;UIoptions!$S$10,PCdb[[#This Row],[BCD]]&lt;UIoptions!$T$10),1,0)</f>
        <v>0</v>
      </c>
      <c r="BC309" s="38">
        <f>IF(AND(PCdb[[#This Row],[PD]]&gt;UIoptions!$S$11,PCdb[[#This Row],[PD]]&lt;UIoptions!$T$11),1,0)</f>
        <v>0</v>
      </c>
      <c r="BD309" s="38">
        <f>IF(AND(UIoptions!$P$14&lt;=PCdb[[#This Row],[PL (MAX)]],UIoptions!$P$14&gt;UIoptions!$S$14),1,0)</f>
        <v>1</v>
      </c>
      <c r="BE309" s="38">
        <f>IF(AND(PCdb[[#This Row],[SD]]&gt;UIoptions!$S$12,PCdb[[#This Row],[SD]]&lt;UIoptions!$T$12),1,0)</f>
        <v>0</v>
      </c>
      <c r="BF309" s="38">
        <f>IF(AND(PCdb[[#This Row],[SL]]&gt;UIoptions!$S$13,PCdb[[#This Row],[SL]]&lt;UIoptions!$T$13),1,0)</f>
        <v>0</v>
      </c>
      <c r="BG309" s="38">
        <f>IF(UIoptions!$N$35=1,IF(AND(PCdb[[#This Row],[SQ_SZ]]&gt;UIoptions!$S$15,PCdb[[#This Row],[SQ_SZ]]&lt;UIoptions!$T$15),1,0),1)</f>
        <v>0</v>
      </c>
      <c r="BH309" s="38">
        <f>IF(UIoptions!$N$35=2,IF(AND(PCdb[[#This Row],[ROUND_D]]&gt;UIoptions!$S$15,PCdb[[#This Row],[ROUND_D]]&lt;UIoptions!$T$15),1,0),1)</f>
        <v>1</v>
      </c>
      <c r="BI309" s="38">
        <f>IF(UIoptions!$N$75&lt;&gt;1,1,IF(AND(PCdb[[#This Row],[FL]]&gt;UIoptions!$S$16,PCdb[[#This Row],[FL]]&lt;UIoptions!$T$16),1,0))</f>
        <v>0</v>
      </c>
      <c r="BJ309" s="38" t="e">
        <f>IF(OR(UIoptions!$Q$18=PCdb[[#This Row],[THRU_SCREW]],UIoptions!$Q$18="NA"),1,0)</f>
        <v>#N/A</v>
      </c>
      <c r="BK309" s="38">
        <f>IF(OR(UIoptions!$P$19=PCdb[[#This Row],[THREAD_SZ]],UIoptions!$P$19="NA"),1,0)</f>
        <v>1</v>
      </c>
      <c r="BL309" s="38">
        <f>IF(UIoptions!$N$75=1,1,IF(AND(PCdb[[#This Row],[THREAD_L]]&gt;UIoptions!$S$17,PCdb[[#This Row],[THREAD_L]]&lt;UIoptions!$T$17),1,0))</f>
        <v>1</v>
      </c>
      <c r="BM309" s="38" t="e">
        <f>IF(SUM(PCdb[[#This Row],[BDhit]:[THREAD_Lhit]])=11,1,0)</f>
        <v>#N/A</v>
      </c>
      <c r="BN30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90704194080NA6.5M6NANA4</v>
      </c>
      <c r="BO309" s="38" t="e">
        <f>SUM(PCdb[[#This Row],[BDhit]:[THREAD_Lhit]])</f>
        <v>#N/A</v>
      </c>
    </row>
    <row r="310" spans="1:67" x14ac:dyDescent="0.25">
      <c r="A310" s="7">
        <v>317</v>
      </c>
      <c r="B310" s="93">
        <v>45</v>
      </c>
      <c r="C310" s="93">
        <v>32</v>
      </c>
      <c r="D310" s="93">
        <v>4</v>
      </c>
      <c r="E310" s="93">
        <v>12</v>
      </c>
      <c r="F310" s="93">
        <v>28</v>
      </c>
      <c r="G310" s="93" t="s">
        <v>87</v>
      </c>
      <c r="H310" s="93">
        <v>56</v>
      </c>
      <c r="I310" s="93" t="s">
        <v>87</v>
      </c>
      <c r="J310" s="93" t="s">
        <v>87</v>
      </c>
      <c r="K310" s="93" t="s">
        <v>45</v>
      </c>
      <c r="L310" s="93">
        <v>15</v>
      </c>
      <c r="M310" s="93">
        <v>4</v>
      </c>
      <c r="N310" s="38">
        <v>6</v>
      </c>
      <c r="O310" s="38"/>
      <c r="P310" s="38"/>
      <c r="Q310" s="38"/>
      <c r="R310" s="38"/>
      <c r="S310" s="38"/>
      <c r="T310" s="38"/>
      <c r="U310" s="38"/>
      <c r="V310" s="25">
        <v>45.2</v>
      </c>
      <c r="W310" s="38" t="s">
        <v>87</v>
      </c>
      <c r="X310" s="38" t="s">
        <v>87</v>
      </c>
      <c r="Y310" s="38" t="s">
        <v>130</v>
      </c>
      <c r="Z310" s="38" t="s">
        <v>279</v>
      </c>
      <c r="AA310" s="38">
        <v>45</v>
      </c>
      <c r="AB310" s="38">
        <v>90</v>
      </c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>
        <f>IF(AND(PCdb[[#This Row],[BCD]]&gt;UIoptions!$S$10,PCdb[[#This Row],[BCD]]&lt;UIoptions!$T$10),1,0)</f>
        <v>0</v>
      </c>
      <c r="BC310" s="38">
        <f>IF(AND(PCdb[[#This Row],[PD]]&gt;UIoptions!$S$11,PCdb[[#This Row],[PD]]&lt;UIoptions!$T$11),1,0)</f>
        <v>0</v>
      </c>
      <c r="BD310" s="38">
        <f>IF(AND(UIoptions!$P$14&lt;=PCdb[[#This Row],[PL (MAX)]],UIoptions!$P$14&gt;UIoptions!$S$14),1,0)</f>
        <v>1</v>
      </c>
      <c r="BE310" s="38">
        <f>IF(AND(PCdb[[#This Row],[SD]]&gt;UIoptions!$S$12,PCdb[[#This Row],[SD]]&lt;UIoptions!$T$12),1,0)</f>
        <v>0</v>
      </c>
      <c r="BF310" s="38">
        <f>IF(AND(PCdb[[#This Row],[SL]]&gt;UIoptions!$S$13,PCdb[[#This Row],[SL]]&lt;UIoptions!$T$13),1,0)</f>
        <v>0</v>
      </c>
      <c r="BG310" s="38">
        <f>IF(UIoptions!$N$35=1,IF(AND(PCdb[[#This Row],[SQ_SZ]]&gt;UIoptions!$S$15,PCdb[[#This Row],[SQ_SZ]]&lt;UIoptions!$T$15),1,0),1)</f>
        <v>0</v>
      </c>
      <c r="BH310" s="38">
        <f>IF(UIoptions!$N$35=2,IF(AND(PCdb[[#This Row],[ROUND_D]]&gt;UIoptions!$S$15,PCdb[[#This Row],[ROUND_D]]&lt;UIoptions!$T$15),1,0),1)</f>
        <v>1</v>
      </c>
      <c r="BI310" s="38">
        <f>IF(UIoptions!$N$75&lt;&gt;1,1,IF(AND(PCdb[[#This Row],[FL]]&gt;UIoptions!$S$16,PCdb[[#This Row],[FL]]&lt;UIoptions!$T$16),1,0))</f>
        <v>0</v>
      </c>
      <c r="BJ310" s="38" t="e">
        <f>IF(OR(UIoptions!$Q$18=PCdb[[#This Row],[THRU_SCREW]],UIoptions!$Q$18="NA"),1,0)</f>
        <v>#N/A</v>
      </c>
      <c r="BK310" s="38">
        <f>IF(OR(UIoptions!$P$19=PCdb[[#This Row],[THREAD_SZ]],UIoptions!$P$19="NA"),1,0)</f>
        <v>1</v>
      </c>
      <c r="BL310" s="38">
        <f>IF(UIoptions!$N$75=1,1,IF(AND(PCdb[[#This Row],[THREAD_L]]&gt;UIoptions!$S$17,PCdb[[#This Row],[THREAD_L]]&lt;UIoptions!$T$17),1,0))</f>
        <v>1</v>
      </c>
      <c r="BM310" s="38" t="e">
        <f>IF(SUM(PCdb[[#This Row],[BDhit]:[THREAD_Lhit]])=11,1,0)</f>
        <v>#N/A</v>
      </c>
      <c r="BN31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453241228NA56NANAM5154</v>
      </c>
      <c r="BO310" s="38" t="e">
        <f>SUM(PCdb[[#This Row],[BDhit]:[THREAD_Lhit]])</f>
        <v>#N/A</v>
      </c>
    </row>
    <row r="311" spans="1:67" x14ac:dyDescent="0.25">
      <c r="A311" s="7">
        <v>318</v>
      </c>
      <c r="B311" s="93">
        <v>70</v>
      </c>
      <c r="C311" s="93">
        <v>50</v>
      </c>
      <c r="D311" s="93">
        <v>4</v>
      </c>
      <c r="E311" s="93">
        <v>14</v>
      </c>
      <c r="F311" s="93">
        <v>30</v>
      </c>
      <c r="G311" s="93">
        <v>60</v>
      </c>
      <c r="H311" s="93" t="s">
        <v>87</v>
      </c>
      <c r="I311" s="93">
        <v>10</v>
      </c>
      <c r="J311" s="93" t="s">
        <v>45</v>
      </c>
      <c r="K311" s="93" t="s">
        <v>87</v>
      </c>
      <c r="L311" s="93" t="s">
        <v>87</v>
      </c>
      <c r="M311" s="93">
        <v>4</v>
      </c>
      <c r="N311" s="38" t="s">
        <v>45</v>
      </c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>
        <v>27</v>
      </c>
      <c r="AQ311" s="38">
        <v>0</v>
      </c>
      <c r="AR311" s="38" t="s">
        <v>130</v>
      </c>
      <c r="AS311" s="38" t="s">
        <v>176</v>
      </c>
      <c r="AT311" s="38">
        <v>45</v>
      </c>
      <c r="AU311" s="38">
        <v>90</v>
      </c>
      <c r="AV311" s="38"/>
      <c r="AW311" s="38"/>
      <c r="AX311" s="38"/>
      <c r="AY311" s="38"/>
      <c r="AZ311" s="38"/>
      <c r="BA311" s="38"/>
      <c r="BB311" s="38">
        <f>IF(AND(PCdb[[#This Row],[BCD]]&gt;UIoptions!$S$10,PCdb[[#This Row],[BCD]]&lt;UIoptions!$T$10),1,0)</f>
        <v>0</v>
      </c>
      <c r="BC311" s="38">
        <f>IF(AND(PCdb[[#This Row],[PD]]&gt;UIoptions!$S$11,PCdb[[#This Row],[PD]]&lt;UIoptions!$T$11),1,0)</f>
        <v>0</v>
      </c>
      <c r="BD311" s="38">
        <f>IF(AND(UIoptions!$P$14&lt;=PCdb[[#This Row],[PL (MAX)]],UIoptions!$P$14&gt;UIoptions!$S$14),1,0)</f>
        <v>1</v>
      </c>
      <c r="BE311" s="38">
        <f>IF(AND(PCdb[[#This Row],[SD]]&gt;UIoptions!$S$12,PCdb[[#This Row],[SD]]&lt;UIoptions!$T$12),1,0)</f>
        <v>0</v>
      </c>
      <c r="BF311" s="38">
        <f>IF(AND(PCdb[[#This Row],[SL]]&gt;UIoptions!$S$13,PCdb[[#This Row],[SL]]&lt;UIoptions!$T$13),1,0)</f>
        <v>0</v>
      </c>
      <c r="BG311" s="38">
        <f>IF(UIoptions!$N$35=1,IF(AND(PCdb[[#This Row],[SQ_SZ]]&gt;UIoptions!$S$15,PCdb[[#This Row],[SQ_SZ]]&lt;UIoptions!$T$15),1,0),1)</f>
        <v>0</v>
      </c>
      <c r="BH311" s="38">
        <f>IF(UIoptions!$N$35=2,IF(AND(PCdb[[#This Row],[ROUND_D]]&gt;UIoptions!$S$15,PCdb[[#This Row],[ROUND_D]]&lt;UIoptions!$T$15),1,0),1)</f>
        <v>1</v>
      </c>
      <c r="BI311" s="38">
        <f>IF(UIoptions!$N$75&lt;&gt;1,1,IF(AND(PCdb[[#This Row],[FL]]&gt;UIoptions!$S$16,PCdb[[#This Row],[FL]]&lt;UIoptions!$T$16),1,0))</f>
        <v>0</v>
      </c>
      <c r="BJ311" s="38" t="e">
        <f>IF(OR(UIoptions!$Q$18=PCdb[[#This Row],[THRU_SCREW]],UIoptions!$Q$18="NA"),1,0)</f>
        <v>#N/A</v>
      </c>
      <c r="BK311" s="38">
        <f>IF(OR(UIoptions!$P$19=PCdb[[#This Row],[THREAD_SZ]],UIoptions!$P$19="NA"),1,0)</f>
        <v>1</v>
      </c>
      <c r="BL311" s="38">
        <f>IF(UIoptions!$N$75=1,1,IF(AND(PCdb[[#This Row],[THREAD_L]]&gt;UIoptions!$S$17,PCdb[[#This Row],[THREAD_L]]&lt;UIoptions!$T$17),1,0))</f>
        <v>1</v>
      </c>
      <c r="BM311" s="38" t="e">
        <f>IF(SUM(PCdb[[#This Row],[BDhit]:[THREAD_Lhit]])=11,1,0)</f>
        <v>#N/A</v>
      </c>
      <c r="BN31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70504143060NA10M5NANA4</v>
      </c>
      <c r="BO311" s="38" t="e">
        <f>SUM(PCdb[[#This Row],[BDhit]:[THREAD_Lhit]])</f>
        <v>#N/A</v>
      </c>
    </row>
    <row r="312" spans="1:67" x14ac:dyDescent="0.25">
      <c r="A312" s="7">
        <v>319</v>
      </c>
      <c r="B312" s="93">
        <v>90</v>
      </c>
      <c r="C312" s="93">
        <v>70</v>
      </c>
      <c r="D312" s="93">
        <v>4</v>
      </c>
      <c r="E312" s="93">
        <v>16</v>
      </c>
      <c r="F312" s="93">
        <v>25</v>
      </c>
      <c r="G312" s="93">
        <v>80</v>
      </c>
      <c r="H312" s="93" t="s">
        <v>87</v>
      </c>
      <c r="I312" s="93">
        <v>7</v>
      </c>
      <c r="J312" s="93" t="s">
        <v>49</v>
      </c>
      <c r="K312" s="93" t="s">
        <v>87</v>
      </c>
      <c r="L312" s="93" t="s">
        <v>87</v>
      </c>
      <c r="M312" s="93">
        <v>4</v>
      </c>
      <c r="N312" s="38" t="s">
        <v>49</v>
      </c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>
        <v>37</v>
      </c>
      <c r="AW312" s="38" t="s">
        <v>87</v>
      </c>
      <c r="AX312" s="38" t="s">
        <v>130</v>
      </c>
      <c r="AY312" s="38" t="s">
        <v>177</v>
      </c>
      <c r="AZ312" s="38">
        <v>45</v>
      </c>
      <c r="BA312" s="38">
        <v>90</v>
      </c>
      <c r="BB312" s="38">
        <f>IF(AND(PCdb[[#This Row],[BCD]]&gt;UIoptions!$S$10,PCdb[[#This Row],[BCD]]&lt;UIoptions!$T$10),1,0)</f>
        <v>0</v>
      </c>
      <c r="BC312" s="38">
        <f>IF(AND(PCdb[[#This Row],[PD]]&gt;UIoptions!$S$11,PCdb[[#This Row],[PD]]&lt;UIoptions!$T$11),1,0)</f>
        <v>0</v>
      </c>
      <c r="BD312" s="38">
        <f>IF(AND(UIoptions!$P$14&lt;=PCdb[[#This Row],[PL (MAX)]],UIoptions!$P$14&gt;UIoptions!$S$14),1,0)</f>
        <v>1</v>
      </c>
      <c r="BE312" s="38">
        <f>IF(AND(PCdb[[#This Row],[SD]]&gt;UIoptions!$S$12,PCdb[[#This Row],[SD]]&lt;UIoptions!$T$12),1,0)</f>
        <v>0</v>
      </c>
      <c r="BF312" s="38">
        <f>IF(AND(PCdb[[#This Row],[SL]]&gt;UIoptions!$S$13,PCdb[[#This Row],[SL]]&lt;UIoptions!$T$13),1,0)</f>
        <v>0</v>
      </c>
      <c r="BG312" s="38">
        <f>IF(UIoptions!$N$35=1,IF(AND(PCdb[[#This Row],[SQ_SZ]]&gt;UIoptions!$S$15,PCdb[[#This Row],[SQ_SZ]]&lt;UIoptions!$T$15),1,0),1)</f>
        <v>0</v>
      </c>
      <c r="BH312" s="38">
        <f>IF(UIoptions!$N$35=2,IF(AND(PCdb[[#This Row],[ROUND_D]]&gt;UIoptions!$S$15,PCdb[[#This Row],[ROUND_D]]&lt;UIoptions!$T$15),1,0),1)</f>
        <v>1</v>
      </c>
      <c r="BI312" s="38">
        <f>IF(UIoptions!$N$75&lt;&gt;1,1,IF(AND(PCdb[[#This Row],[FL]]&gt;UIoptions!$S$16,PCdb[[#This Row],[FL]]&lt;UIoptions!$T$16),1,0))</f>
        <v>0</v>
      </c>
      <c r="BJ312" s="38" t="e">
        <f>IF(OR(UIoptions!$Q$18=PCdb[[#This Row],[THRU_SCREW]],UIoptions!$Q$18="NA"),1,0)</f>
        <v>#N/A</v>
      </c>
      <c r="BK312" s="38">
        <f>IF(OR(UIoptions!$P$19=PCdb[[#This Row],[THREAD_SZ]],UIoptions!$P$19="NA"),1,0)</f>
        <v>1</v>
      </c>
      <c r="BL312" s="38">
        <f>IF(UIoptions!$N$75=1,1,IF(AND(PCdb[[#This Row],[THREAD_L]]&gt;UIoptions!$S$17,PCdb[[#This Row],[THREAD_L]]&lt;UIoptions!$T$17),1,0))</f>
        <v>1</v>
      </c>
      <c r="BM312" s="38" t="e">
        <f>IF(SUM(PCdb[[#This Row],[BDhit]:[THREAD_Lhit]])=11,1,0)</f>
        <v>#N/A</v>
      </c>
      <c r="BN31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90704162580NA7M6NANA4</v>
      </c>
      <c r="BO312" s="38" t="e">
        <f>SUM(PCdb[[#This Row],[BDhit]:[THREAD_Lhit]])</f>
        <v>#N/A</v>
      </c>
    </row>
    <row r="313" spans="1:67" x14ac:dyDescent="0.25">
      <c r="A313" s="7">
        <v>320</v>
      </c>
      <c r="B313" s="93">
        <v>75</v>
      </c>
      <c r="C313" s="93">
        <v>60</v>
      </c>
      <c r="D313" s="93">
        <v>4</v>
      </c>
      <c r="E313" s="93">
        <v>11</v>
      </c>
      <c r="F313" s="93">
        <v>23.1</v>
      </c>
      <c r="G313" s="93">
        <v>70</v>
      </c>
      <c r="H313" s="93" t="s">
        <v>87</v>
      </c>
      <c r="I313" s="93">
        <v>8</v>
      </c>
      <c r="J313" s="93" t="s">
        <v>45</v>
      </c>
      <c r="K313" s="93" t="s">
        <v>87</v>
      </c>
      <c r="L313" s="93" t="s">
        <v>87</v>
      </c>
      <c r="M313" s="93">
        <v>4</v>
      </c>
      <c r="N313" s="38" t="s">
        <v>45</v>
      </c>
      <c r="O313" s="38"/>
      <c r="P313" s="38"/>
      <c r="Q313" s="38"/>
      <c r="R313" s="38"/>
      <c r="S313" s="38"/>
      <c r="T313" s="38"/>
      <c r="U313" s="38"/>
      <c r="V313" s="25">
        <v>45.2</v>
      </c>
      <c r="W313" s="38">
        <v>32</v>
      </c>
      <c r="X313" s="38" t="s">
        <v>87</v>
      </c>
      <c r="Y313" s="38" t="s">
        <v>130</v>
      </c>
      <c r="Z313" s="38" t="s">
        <v>172</v>
      </c>
      <c r="AA313" s="38">
        <v>45</v>
      </c>
      <c r="AB313" s="38">
        <v>90</v>
      </c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>
        <f>IF(AND(PCdb[[#This Row],[BCD]]&gt;UIoptions!$S$10,PCdb[[#This Row],[BCD]]&lt;UIoptions!$T$10),1,0)</f>
        <v>1</v>
      </c>
      <c r="BC313" s="38">
        <f>IF(AND(PCdb[[#This Row],[PD]]&gt;UIoptions!$S$11,PCdb[[#This Row],[PD]]&lt;UIoptions!$T$11),1,0)</f>
        <v>1</v>
      </c>
      <c r="BD313" s="38">
        <f>IF(AND(UIoptions!$P$14&lt;=PCdb[[#This Row],[PL (MAX)]],UIoptions!$P$14&gt;UIoptions!$S$14),1,0)</f>
        <v>1</v>
      </c>
      <c r="BE313" s="38">
        <f>IF(AND(PCdb[[#This Row],[SD]]&gt;UIoptions!$S$12,PCdb[[#This Row],[SD]]&lt;UIoptions!$T$12),1,0)</f>
        <v>1</v>
      </c>
      <c r="BF313" s="38">
        <f>IF(AND(PCdb[[#This Row],[SL]]&gt;UIoptions!$S$13,PCdb[[#This Row],[SL]]&lt;UIoptions!$T$13),1,0)</f>
        <v>0</v>
      </c>
      <c r="BG313" s="38">
        <f>IF(UIoptions!$N$35=1,IF(AND(PCdb[[#This Row],[SQ_SZ]]&gt;UIoptions!$S$15,PCdb[[#This Row],[SQ_SZ]]&lt;UIoptions!$T$15),1,0),1)</f>
        <v>1</v>
      </c>
      <c r="BH313" s="38">
        <f>IF(UIoptions!$N$35=2,IF(AND(PCdb[[#This Row],[ROUND_D]]&gt;UIoptions!$S$15,PCdb[[#This Row],[ROUND_D]]&lt;UIoptions!$T$15),1,0),1)</f>
        <v>1</v>
      </c>
      <c r="BI313" s="38">
        <f>IF(UIoptions!$N$75&lt;&gt;1,1,IF(AND(PCdb[[#This Row],[FL]]&gt;UIoptions!$S$16,PCdb[[#This Row],[FL]]&lt;UIoptions!$T$16),1,0))</f>
        <v>0</v>
      </c>
      <c r="BJ313" s="38" t="e">
        <f>IF(OR(UIoptions!$Q$18=PCdb[[#This Row],[THRU_SCREW]],UIoptions!$Q$18="NA"),1,0)</f>
        <v>#N/A</v>
      </c>
      <c r="BK313" s="38">
        <f>IF(OR(UIoptions!$P$19=PCdb[[#This Row],[THREAD_SZ]],UIoptions!$P$19="NA"),1,0)</f>
        <v>1</v>
      </c>
      <c r="BL313" s="38">
        <f>IF(UIoptions!$N$75=1,1,IF(AND(PCdb[[#This Row],[THREAD_L]]&gt;UIoptions!$S$17,PCdb[[#This Row],[THREAD_L]]&lt;UIoptions!$T$17),1,0))</f>
        <v>1</v>
      </c>
      <c r="BM313" s="38" t="e">
        <f>IF(SUM(PCdb[[#This Row],[BDhit]:[THREAD_Lhit]])=11,1,0)</f>
        <v>#N/A</v>
      </c>
      <c r="BN31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756041123.170NA8M5NANA4</v>
      </c>
      <c r="BO313" s="38" t="e">
        <f>SUM(PCdb[[#This Row],[BDhit]:[THREAD_Lhit]])</f>
        <v>#N/A</v>
      </c>
    </row>
    <row r="314" spans="1:67" x14ac:dyDescent="0.25">
      <c r="A314" s="7">
        <v>321</v>
      </c>
      <c r="B314" s="93">
        <v>63</v>
      </c>
      <c r="C314" s="93">
        <v>40</v>
      </c>
      <c r="D314" s="93">
        <v>4</v>
      </c>
      <c r="E314" s="93">
        <v>11</v>
      </c>
      <c r="F314" s="93">
        <v>23</v>
      </c>
      <c r="G314" s="93">
        <v>58</v>
      </c>
      <c r="H314" s="93" t="s">
        <v>87</v>
      </c>
      <c r="I314" s="93">
        <v>7.1</v>
      </c>
      <c r="J314" s="93" t="s">
        <v>45</v>
      </c>
      <c r="K314" s="93" t="s">
        <v>87</v>
      </c>
      <c r="L314" s="93" t="s">
        <v>87</v>
      </c>
      <c r="M314" s="93">
        <v>4</v>
      </c>
      <c r="N314" s="38" t="s">
        <v>45</v>
      </c>
      <c r="O314" s="25">
        <v>36.200000000000003</v>
      </c>
      <c r="P314" s="38">
        <v>22</v>
      </c>
      <c r="Q314" s="38" t="s">
        <v>87</v>
      </c>
      <c r="R314" s="38" t="s">
        <v>130</v>
      </c>
      <c r="S314" s="38" t="s">
        <v>172</v>
      </c>
      <c r="T314" s="38">
        <v>45</v>
      </c>
      <c r="U314" s="38">
        <v>90</v>
      </c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>
        <f>IF(AND(PCdb[[#This Row],[BCD]]&gt;UIoptions!$S$10,PCdb[[#This Row],[BCD]]&lt;UIoptions!$T$10),1,0)</f>
        <v>0</v>
      </c>
      <c r="BC314" s="38">
        <f>IF(AND(PCdb[[#This Row],[PD]]&gt;UIoptions!$S$11,PCdb[[#This Row],[PD]]&lt;UIoptions!$T$11),1,0)</f>
        <v>0</v>
      </c>
      <c r="BD314" s="38">
        <f>IF(AND(UIoptions!$P$14&lt;=PCdb[[#This Row],[PL (MAX)]],UIoptions!$P$14&gt;UIoptions!$S$14),1,0)</f>
        <v>1</v>
      </c>
      <c r="BE314" s="38">
        <f>IF(AND(PCdb[[#This Row],[SD]]&gt;UIoptions!$S$12,PCdb[[#This Row],[SD]]&lt;UIoptions!$T$12),1,0)</f>
        <v>1</v>
      </c>
      <c r="BF314" s="38">
        <f>IF(AND(PCdb[[#This Row],[SL]]&gt;UIoptions!$S$13,PCdb[[#This Row],[SL]]&lt;UIoptions!$T$13),1,0)</f>
        <v>1</v>
      </c>
      <c r="BG314" s="38">
        <f>IF(UIoptions!$N$35=1,IF(AND(PCdb[[#This Row],[SQ_SZ]]&gt;UIoptions!$S$15,PCdb[[#This Row],[SQ_SZ]]&lt;UIoptions!$T$15),1,0),1)</f>
        <v>0</v>
      </c>
      <c r="BH314" s="38">
        <f>IF(UIoptions!$N$35=2,IF(AND(PCdb[[#This Row],[ROUND_D]]&gt;UIoptions!$S$15,PCdb[[#This Row],[ROUND_D]]&lt;UIoptions!$T$15),1,0),1)</f>
        <v>1</v>
      </c>
      <c r="BI314" s="38">
        <f>IF(UIoptions!$N$75&lt;&gt;1,1,IF(AND(PCdb[[#This Row],[FL]]&gt;UIoptions!$S$16,PCdb[[#This Row],[FL]]&lt;UIoptions!$T$16),1,0))</f>
        <v>0</v>
      </c>
      <c r="BJ314" s="38" t="e">
        <f>IF(OR(UIoptions!$Q$18=PCdb[[#This Row],[THRU_SCREW]],UIoptions!$Q$18="NA"),1,0)</f>
        <v>#N/A</v>
      </c>
      <c r="BK314" s="38">
        <f>IF(OR(UIoptions!$P$19=PCdb[[#This Row],[THREAD_SZ]],UIoptions!$P$19="NA"),1,0)</f>
        <v>1</v>
      </c>
      <c r="BL314" s="38">
        <f>IF(UIoptions!$N$75=1,1,IF(AND(PCdb[[#This Row],[THREAD_L]]&gt;UIoptions!$S$17,PCdb[[#This Row],[THREAD_L]]&lt;UIoptions!$T$17),1,0))</f>
        <v>1</v>
      </c>
      <c r="BM314" s="38" t="e">
        <f>IF(SUM(PCdb[[#This Row],[BDhit]:[THREAD_Lhit]])=11,1,0)</f>
        <v>#N/A</v>
      </c>
      <c r="BN31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63404112358NA7.1M5NANA4</v>
      </c>
      <c r="BO314" s="38" t="e">
        <f>SUM(PCdb[[#This Row],[BDhit]:[THREAD_Lhit]])</f>
        <v>#N/A</v>
      </c>
    </row>
    <row r="315" spans="1:67" x14ac:dyDescent="0.25">
      <c r="A315" s="7">
        <v>322</v>
      </c>
      <c r="B315" s="93">
        <v>70</v>
      </c>
      <c r="C315" s="93">
        <v>50</v>
      </c>
      <c r="D315" s="93">
        <v>4</v>
      </c>
      <c r="E315" s="93">
        <v>18</v>
      </c>
      <c r="F315" s="93">
        <v>30</v>
      </c>
      <c r="G315" s="93">
        <v>80</v>
      </c>
      <c r="H315" s="93" t="s">
        <v>87</v>
      </c>
      <c r="I315" s="93">
        <v>12</v>
      </c>
      <c r="J315" s="93" t="s">
        <v>49</v>
      </c>
      <c r="K315" s="93" t="s">
        <v>87</v>
      </c>
      <c r="L315" s="93" t="s">
        <v>87</v>
      </c>
      <c r="M315" s="93">
        <v>4</v>
      </c>
      <c r="N315" s="38" t="s">
        <v>49</v>
      </c>
      <c r="O315" s="38"/>
      <c r="P315" s="38"/>
      <c r="Q315" s="38"/>
      <c r="R315" s="38"/>
      <c r="S315" s="38"/>
      <c r="T315" s="38"/>
      <c r="U315" s="38"/>
      <c r="V315" s="25">
        <v>45.2</v>
      </c>
      <c r="W315" s="38">
        <v>28</v>
      </c>
      <c r="X315" s="38" t="s">
        <v>87</v>
      </c>
      <c r="Y315" s="38" t="s">
        <v>130</v>
      </c>
      <c r="Z315" s="38" t="s">
        <v>172</v>
      </c>
      <c r="AA315" s="38">
        <v>45</v>
      </c>
      <c r="AB315" s="38">
        <v>90</v>
      </c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>
        <f>IF(AND(PCdb[[#This Row],[BCD]]&gt;UIoptions!$S$10,PCdb[[#This Row],[BCD]]&lt;UIoptions!$T$10),1,0)</f>
        <v>0</v>
      </c>
      <c r="BC315" s="38">
        <f>IF(AND(PCdb[[#This Row],[PD]]&gt;UIoptions!$S$11,PCdb[[#This Row],[PD]]&lt;UIoptions!$T$11),1,0)</f>
        <v>0</v>
      </c>
      <c r="BD315" s="38">
        <f>IF(AND(UIoptions!$P$14&lt;=PCdb[[#This Row],[PL (MAX)]],UIoptions!$P$14&gt;UIoptions!$S$14),1,0)</f>
        <v>1</v>
      </c>
      <c r="BE315" s="38">
        <f>IF(AND(PCdb[[#This Row],[SD]]&gt;UIoptions!$S$12,PCdb[[#This Row],[SD]]&lt;UIoptions!$T$12),1,0)</f>
        <v>0</v>
      </c>
      <c r="BF315" s="38">
        <f>IF(AND(PCdb[[#This Row],[SL]]&gt;UIoptions!$S$13,PCdb[[#This Row],[SL]]&lt;UIoptions!$T$13),1,0)</f>
        <v>0</v>
      </c>
      <c r="BG315" s="38">
        <f>IF(UIoptions!$N$35=1,IF(AND(PCdb[[#This Row],[SQ_SZ]]&gt;UIoptions!$S$15,PCdb[[#This Row],[SQ_SZ]]&lt;UIoptions!$T$15),1,0),1)</f>
        <v>0</v>
      </c>
      <c r="BH315" s="38">
        <f>IF(UIoptions!$N$35=2,IF(AND(PCdb[[#This Row],[ROUND_D]]&gt;UIoptions!$S$15,PCdb[[#This Row],[ROUND_D]]&lt;UIoptions!$T$15),1,0),1)</f>
        <v>1</v>
      </c>
      <c r="BI315" s="38">
        <f>IF(UIoptions!$N$75&lt;&gt;1,1,IF(AND(PCdb[[#This Row],[FL]]&gt;UIoptions!$S$16,PCdb[[#This Row],[FL]]&lt;UIoptions!$T$16),1,0))</f>
        <v>0</v>
      </c>
      <c r="BJ315" s="38" t="e">
        <f>IF(OR(UIoptions!$Q$18=PCdb[[#This Row],[THRU_SCREW]],UIoptions!$Q$18="NA"),1,0)</f>
        <v>#N/A</v>
      </c>
      <c r="BK315" s="38">
        <f>IF(OR(UIoptions!$P$19=PCdb[[#This Row],[THREAD_SZ]],UIoptions!$P$19="NA"),1,0)</f>
        <v>1</v>
      </c>
      <c r="BL315" s="38">
        <f>IF(UIoptions!$N$75=1,1,IF(AND(PCdb[[#This Row],[THREAD_L]]&gt;UIoptions!$S$17,PCdb[[#This Row],[THREAD_L]]&lt;UIoptions!$T$17),1,0))</f>
        <v>1</v>
      </c>
      <c r="BM315" s="38" t="e">
        <f>IF(SUM(PCdb[[#This Row],[BDhit]:[THREAD_Lhit]])=11,1,0)</f>
        <v>#N/A</v>
      </c>
      <c r="BN31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70504183080NA12M6NANA4</v>
      </c>
      <c r="BO315" s="38" t="e">
        <f>SUM(PCdb[[#This Row],[BDhit]:[THREAD_Lhit]])</f>
        <v>#N/A</v>
      </c>
    </row>
    <row r="316" spans="1:67" x14ac:dyDescent="0.25">
      <c r="A316" s="7">
        <v>323</v>
      </c>
      <c r="B316" s="93">
        <v>62.2</v>
      </c>
      <c r="C316" s="93">
        <v>35</v>
      </c>
      <c r="D316" s="93">
        <v>9.5</v>
      </c>
      <c r="E316" s="93">
        <v>12</v>
      </c>
      <c r="F316" s="93">
        <v>24.5</v>
      </c>
      <c r="G316" s="93" t="s">
        <v>87</v>
      </c>
      <c r="H316" s="93">
        <v>50</v>
      </c>
      <c r="I316" s="93" t="s">
        <v>87</v>
      </c>
      <c r="J316" s="93" t="s">
        <v>87</v>
      </c>
      <c r="K316" s="93" t="s">
        <v>7</v>
      </c>
      <c r="L316" s="93">
        <v>10</v>
      </c>
      <c r="M316" s="93">
        <v>4</v>
      </c>
      <c r="N316" s="38">
        <v>5</v>
      </c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25">
        <v>45.2</v>
      </c>
      <c r="AD316" s="38" t="s">
        <v>87</v>
      </c>
      <c r="AE316" s="38" t="s">
        <v>87</v>
      </c>
      <c r="AF316" s="38" t="s">
        <v>130</v>
      </c>
      <c r="AG316" s="38" t="s">
        <v>279</v>
      </c>
      <c r="AH316" s="38">
        <v>0</v>
      </c>
      <c r="AI316" s="38">
        <v>90</v>
      </c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>
        <f>IF(AND(PCdb[[#This Row],[BCD]]&gt;UIoptions!$S$10,PCdb[[#This Row],[BCD]]&lt;UIoptions!$T$10),1,0)</f>
        <v>0</v>
      </c>
      <c r="BC316" s="38">
        <f>IF(AND(PCdb[[#This Row],[PD]]&gt;UIoptions!$S$11,PCdb[[#This Row],[PD]]&lt;UIoptions!$T$11),1,0)</f>
        <v>0</v>
      </c>
      <c r="BD316" s="38">
        <f>IF(AND(UIoptions!$P$14&lt;=PCdb[[#This Row],[PL (MAX)]],UIoptions!$P$14&gt;UIoptions!$S$14),1,0)</f>
        <v>1</v>
      </c>
      <c r="BE316" s="38">
        <f>IF(AND(PCdb[[#This Row],[SD]]&gt;UIoptions!$S$12,PCdb[[#This Row],[SD]]&lt;UIoptions!$T$12),1,0)</f>
        <v>0</v>
      </c>
      <c r="BF316" s="38">
        <f>IF(AND(PCdb[[#This Row],[SL]]&gt;UIoptions!$S$13,PCdb[[#This Row],[SL]]&lt;UIoptions!$T$13),1,0)</f>
        <v>0</v>
      </c>
      <c r="BG316" s="38">
        <f>IF(UIoptions!$N$35=1,IF(AND(PCdb[[#This Row],[SQ_SZ]]&gt;UIoptions!$S$15,PCdb[[#This Row],[SQ_SZ]]&lt;UIoptions!$T$15),1,0),1)</f>
        <v>0</v>
      </c>
      <c r="BH316" s="38">
        <f>IF(UIoptions!$N$35=2,IF(AND(PCdb[[#This Row],[ROUND_D]]&gt;UIoptions!$S$15,PCdb[[#This Row],[ROUND_D]]&lt;UIoptions!$T$15),1,0),1)</f>
        <v>1</v>
      </c>
      <c r="BI316" s="38">
        <f>IF(UIoptions!$N$75&lt;&gt;1,1,IF(AND(PCdb[[#This Row],[FL]]&gt;UIoptions!$S$16,PCdb[[#This Row],[FL]]&lt;UIoptions!$T$16),1,0))</f>
        <v>0</v>
      </c>
      <c r="BJ316" s="38" t="e">
        <f>IF(OR(UIoptions!$Q$18=PCdb[[#This Row],[THRU_SCREW]],UIoptions!$Q$18="NA"),1,0)</f>
        <v>#N/A</v>
      </c>
      <c r="BK316" s="38">
        <f>IF(OR(UIoptions!$P$19=PCdb[[#This Row],[THREAD_SZ]],UIoptions!$P$19="NA"),1,0)</f>
        <v>1</v>
      </c>
      <c r="BL316" s="38">
        <f>IF(UIoptions!$N$75=1,1,IF(AND(PCdb[[#This Row],[THREAD_L]]&gt;UIoptions!$S$17,PCdb[[#This Row],[THREAD_L]]&lt;UIoptions!$T$17),1,0))</f>
        <v>1</v>
      </c>
      <c r="BM316" s="38" t="e">
        <f>IF(SUM(PCdb[[#This Row],[BDhit]:[THREAD_Lhit]])=11,1,0)</f>
        <v>#N/A</v>
      </c>
      <c r="BN31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62.2359.51224.5NA50NANAM4104</v>
      </c>
      <c r="BO316" s="38" t="e">
        <f>SUM(PCdb[[#This Row],[BDhit]:[THREAD_Lhit]])</f>
        <v>#N/A</v>
      </c>
    </row>
    <row r="317" spans="1:67" x14ac:dyDescent="0.25">
      <c r="A317" s="7">
        <v>324</v>
      </c>
      <c r="B317" s="93">
        <v>70</v>
      </c>
      <c r="C317" s="93">
        <v>50</v>
      </c>
      <c r="D317" s="93">
        <v>4</v>
      </c>
      <c r="E317" s="93">
        <v>9</v>
      </c>
      <c r="F317" s="93">
        <v>30</v>
      </c>
      <c r="G317" s="93">
        <v>60</v>
      </c>
      <c r="H317" s="93" t="s">
        <v>87</v>
      </c>
      <c r="I317" s="93">
        <v>6</v>
      </c>
      <c r="J317" s="93" t="s">
        <v>45</v>
      </c>
      <c r="K317" s="93" t="s">
        <v>87</v>
      </c>
      <c r="L317" s="93" t="s">
        <v>87</v>
      </c>
      <c r="M317" s="93">
        <v>4</v>
      </c>
      <c r="N317" s="38" t="s">
        <v>45</v>
      </c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>
        <v>27</v>
      </c>
      <c r="AK317" s="38" t="s">
        <v>87</v>
      </c>
      <c r="AL317" s="38" t="s">
        <v>130</v>
      </c>
      <c r="AM317" s="38" t="s">
        <v>177</v>
      </c>
      <c r="AN317" s="38">
        <v>45</v>
      </c>
      <c r="AO317" s="38">
        <v>90</v>
      </c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>
        <f>IF(AND(PCdb[[#This Row],[BCD]]&gt;UIoptions!$S$10,PCdb[[#This Row],[BCD]]&lt;UIoptions!$T$10),1,0)</f>
        <v>0</v>
      </c>
      <c r="BC317" s="38">
        <f>IF(AND(PCdb[[#This Row],[PD]]&gt;UIoptions!$S$11,PCdb[[#This Row],[PD]]&lt;UIoptions!$T$11),1,0)</f>
        <v>0</v>
      </c>
      <c r="BD317" s="38">
        <f>IF(AND(UIoptions!$P$14&lt;=PCdb[[#This Row],[PL (MAX)]],UIoptions!$P$14&gt;UIoptions!$S$14),1,0)</f>
        <v>1</v>
      </c>
      <c r="BE317" s="38">
        <f>IF(AND(PCdb[[#This Row],[SD]]&gt;UIoptions!$S$12,PCdb[[#This Row],[SD]]&lt;UIoptions!$T$12),1,0)</f>
        <v>0</v>
      </c>
      <c r="BF317" s="38">
        <f>IF(AND(PCdb[[#This Row],[SL]]&gt;UIoptions!$S$13,PCdb[[#This Row],[SL]]&lt;UIoptions!$T$13),1,0)</f>
        <v>0</v>
      </c>
      <c r="BG317" s="38">
        <f>IF(UIoptions!$N$35=1,IF(AND(PCdb[[#This Row],[SQ_SZ]]&gt;UIoptions!$S$15,PCdb[[#This Row],[SQ_SZ]]&lt;UIoptions!$T$15),1,0),1)</f>
        <v>0</v>
      </c>
      <c r="BH317" s="38">
        <f>IF(UIoptions!$N$35=2,IF(AND(PCdb[[#This Row],[ROUND_D]]&gt;UIoptions!$S$15,PCdb[[#This Row],[ROUND_D]]&lt;UIoptions!$T$15),1,0),1)</f>
        <v>1</v>
      </c>
      <c r="BI317" s="38">
        <f>IF(UIoptions!$N$75&lt;&gt;1,1,IF(AND(PCdb[[#This Row],[FL]]&gt;UIoptions!$S$16,PCdb[[#This Row],[FL]]&lt;UIoptions!$T$16),1,0))</f>
        <v>0</v>
      </c>
      <c r="BJ317" s="38" t="e">
        <f>IF(OR(UIoptions!$Q$18=PCdb[[#This Row],[THRU_SCREW]],UIoptions!$Q$18="NA"),1,0)</f>
        <v>#N/A</v>
      </c>
      <c r="BK317" s="38">
        <f>IF(OR(UIoptions!$P$19=PCdb[[#This Row],[THREAD_SZ]],UIoptions!$P$19="NA"),1,0)</f>
        <v>1</v>
      </c>
      <c r="BL317" s="38">
        <f>IF(UIoptions!$N$75=1,1,IF(AND(PCdb[[#This Row],[THREAD_L]]&gt;UIoptions!$S$17,PCdb[[#This Row],[THREAD_L]]&lt;UIoptions!$T$17),1,0))</f>
        <v>1</v>
      </c>
      <c r="BM317" s="38" t="e">
        <f>IF(SUM(PCdb[[#This Row],[BDhit]:[THREAD_Lhit]])=11,1,0)</f>
        <v>#N/A</v>
      </c>
      <c r="BN31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7050493060NA6M5NANA4</v>
      </c>
      <c r="BO317" s="38" t="e">
        <f>SUM(PCdb[[#This Row],[BDhit]:[THREAD_Lhit]])</f>
        <v>#N/A</v>
      </c>
    </row>
    <row r="318" spans="1:67" x14ac:dyDescent="0.25">
      <c r="A318" s="7">
        <v>325</v>
      </c>
      <c r="B318" s="93">
        <v>22</v>
      </c>
      <c r="C318" s="93">
        <v>13</v>
      </c>
      <c r="D318" s="93">
        <v>4</v>
      </c>
      <c r="E318" s="93">
        <v>6</v>
      </c>
      <c r="F318" s="93">
        <v>18</v>
      </c>
      <c r="G318" s="93" t="s">
        <v>87</v>
      </c>
      <c r="H318" s="93">
        <v>28</v>
      </c>
      <c r="I318" s="93" t="s">
        <v>87</v>
      </c>
      <c r="J318" s="93" t="s">
        <v>87</v>
      </c>
      <c r="K318" s="93" t="s">
        <v>105</v>
      </c>
      <c r="L318" s="93">
        <v>5</v>
      </c>
      <c r="M318" s="93">
        <v>4</v>
      </c>
      <c r="N318" s="38">
        <v>4</v>
      </c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 t="s">
        <v>87</v>
      </c>
      <c r="AK318" s="38" t="s">
        <v>87</v>
      </c>
      <c r="AL318" s="38" t="s">
        <v>180</v>
      </c>
      <c r="AM318" s="38" t="s">
        <v>280</v>
      </c>
      <c r="AN318" s="38">
        <v>0</v>
      </c>
      <c r="AO318" s="38">
        <v>90</v>
      </c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>
        <f>IF(AND(PCdb[[#This Row],[BCD]]&gt;UIoptions!$S$10,PCdb[[#This Row],[BCD]]&lt;UIoptions!$T$10),1,0)</f>
        <v>0</v>
      </c>
      <c r="BC318" s="38">
        <f>IF(AND(PCdb[[#This Row],[PD]]&gt;UIoptions!$S$11,PCdb[[#This Row],[PD]]&lt;UIoptions!$T$11),1,0)</f>
        <v>0</v>
      </c>
      <c r="BD318" s="38">
        <f>IF(AND(UIoptions!$P$14&lt;=PCdb[[#This Row],[PL (MAX)]],UIoptions!$P$14&gt;UIoptions!$S$14),1,0)</f>
        <v>1</v>
      </c>
      <c r="BE318" s="38">
        <f>IF(AND(PCdb[[#This Row],[SD]]&gt;UIoptions!$S$12,PCdb[[#This Row],[SD]]&lt;UIoptions!$T$12),1,0)</f>
        <v>0</v>
      </c>
      <c r="BF318" s="38">
        <f>IF(AND(PCdb[[#This Row],[SL]]&gt;UIoptions!$S$13,PCdb[[#This Row],[SL]]&lt;UIoptions!$T$13),1,0)</f>
        <v>0</v>
      </c>
      <c r="BG318" s="38">
        <f>IF(UIoptions!$N$35=1,IF(AND(PCdb[[#This Row],[SQ_SZ]]&gt;UIoptions!$S$15,PCdb[[#This Row],[SQ_SZ]]&lt;UIoptions!$T$15),1,0),1)</f>
        <v>0</v>
      </c>
      <c r="BH318" s="38">
        <f>IF(UIoptions!$N$35=2,IF(AND(PCdb[[#This Row],[ROUND_D]]&gt;UIoptions!$S$15,PCdb[[#This Row],[ROUND_D]]&lt;UIoptions!$T$15),1,0),1)</f>
        <v>1</v>
      </c>
      <c r="BI318" s="38">
        <f>IF(UIoptions!$N$75&lt;&gt;1,1,IF(AND(PCdb[[#This Row],[FL]]&gt;UIoptions!$S$16,PCdb[[#This Row],[FL]]&lt;UIoptions!$T$16),1,0))</f>
        <v>0</v>
      </c>
      <c r="BJ318" s="38" t="e">
        <f>IF(OR(UIoptions!$Q$18=PCdb[[#This Row],[THRU_SCREW]],UIoptions!$Q$18="NA"),1,0)</f>
        <v>#N/A</v>
      </c>
      <c r="BK318" s="38">
        <f>IF(OR(UIoptions!$P$19=PCdb[[#This Row],[THREAD_SZ]],UIoptions!$P$19="NA"),1,0)</f>
        <v>1</v>
      </c>
      <c r="BL318" s="38">
        <f>IF(UIoptions!$N$75=1,1,IF(AND(PCdb[[#This Row],[THREAD_L]]&gt;UIoptions!$S$17,PCdb[[#This Row],[THREAD_L]]&lt;UIoptions!$T$17),1,0))</f>
        <v>1</v>
      </c>
      <c r="BM318" s="38" t="e">
        <f>IF(SUM(PCdb[[#This Row],[BDhit]:[THREAD_Lhit]])=11,1,0)</f>
        <v>#N/A</v>
      </c>
      <c r="BN31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22134618NA28NANAM354</v>
      </c>
      <c r="BO318" s="38" t="e">
        <f>SUM(PCdb[[#This Row],[BDhit]:[THREAD_Lhit]])</f>
        <v>#N/A</v>
      </c>
    </row>
    <row r="319" spans="1:67" x14ac:dyDescent="0.25">
      <c r="A319" s="7">
        <v>326</v>
      </c>
      <c r="B319" s="93">
        <v>35</v>
      </c>
      <c r="C319" s="93">
        <v>24</v>
      </c>
      <c r="D319" s="93">
        <v>4</v>
      </c>
      <c r="E319" s="93">
        <v>12</v>
      </c>
      <c r="F319" s="93">
        <v>28</v>
      </c>
      <c r="G319" s="93" t="s">
        <v>87</v>
      </c>
      <c r="H319" s="93">
        <v>42</v>
      </c>
      <c r="I319" s="93" t="s">
        <v>87</v>
      </c>
      <c r="J319" s="93" t="s">
        <v>87</v>
      </c>
      <c r="K319" s="93" t="s">
        <v>7</v>
      </c>
      <c r="L319" s="93">
        <v>10.199999999999999</v>
      </c>
      <c r="M319" s="93">
        <v>4</v>
      </c>
      <c r="N319" s="38">
        <v>5</v>
      </c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 t="s">
        <v>87</v>
      </c>
      <c r="AW319" s="38" t="s">
        <v>87</v>
      </c>
      <c r="AX319" s="38" t="s">
        <v>180</v>
      </c>
      <c r="AY319" s="38" t="s">
        <v>280</v>
      </c>
      <c r="AZ319" s="38">
        <v>45</v>
      </c>
      <c r="BA319" s="38">
        <v>90</v>
      </c>
      <c r="BB319" s="38">
        <f>IF(AND(PCdb[[#This Row],[BCD]]&gt;UIoptions!$S$10,PCdb[[#This Row],[BCD]]&lt;UIoptions!$T$10),1,0)</f>
        <v>0</v>
      </c>
      <c r="BC319" s="38">
        <f>IF(AND(PCdb[[#This Row],[PD]]&gt;UIoptions!$S$11,PCdb[[#This Row],[PD]]&lt;UIoptions!$T$11),1,0)</f>
        <v>0</v>
      </c>
      <c r="BD319" s="38">
        <f>IF(AND(UIoptions!$P$14&lt;=PCdb[[#This Row],[PL (MAX)]],UIoptions!$P$14&gt;UIoptions!$S$14),1,0)</f>
        <v>1</v>
      </c>
      <c r="BE319" s="38">
        <f>IF(AND(PCdb[[#This Row],[SD]]&gt;UIoptions!$S$12,PCdb[[#This Row],[SD]]&lt;UIoptions!$T$12),1,0)</f>
        <v>0</v>
      </c>
      <c r="BF319" s="38">
        <f>IF(AND(PCdb[[#This Row],[SL]]&gt;UIoptions!$S$13,PCdb[[#This Row],[SL]]&lt;UIoptions!$T$13),1,0)</f>
        <v>0</v>
      </c>
      <c r="BG319" s="38">
        <f>IF(UIoptions!$N$35=1,IF(AND(PCdb[[#This Row],[SQ_SZ]]&gt;UIoptions!$S$15,PCdb[[#This Row],[SQ_SZ]]&lt;UIoptions!$T$15),1,0),1)</f>
        <v>0</v>
      </c>
      <c r="BH319" s="38">
        <f>IF(UIoptions!$N$35=2,IF(AND(PCdb[[#This Row],[ROUND_D]]&gt;UIoptions!$S$15,PCdb[[#This Row],[ROUND_D]]&lt;UIoptions!$T$15),1,0),1)</f>
        <v>1</v>
      </c>
      <c r="BI319" s="38">
        <f>IF(UIoptions!$N$75&lt;&gt;1,1,IF(AND(PCdb[[#This Row],[FL]]&gt;UIoptions!$S$16,PCdb[[#This Row],[FL]]&lt;UIoptions!$T$16),1,0))</f>
        <v>0</v>
      </c>
      <c r="BJ319" s="38" t="e">
        <f>IF(OR(UIoptions!$Q$18=PCdb[[#This Row],[THRU_SCREW]],UIoptions!$Q$18="NA"),1,0)</f>
        <v>#N/A</v>
      </c>
      <c r="BK319" s="38">
        <f>IF(OR(UIoptions!$P$19=PCdb[[#This Row],[THREAD_SZ]],UIoptions!$P$19="NA"),1,0)</f>
        <v>1</v>
      </c>
      <c r="BL319" s="38">
        <f>IF(UIoptions!$N$75=1,1,IF(AND(PCdb[[#This Row],[THREAD_L]]&gt;UIoptions!$S$17,PCdb[[#This Row],[THREAD_L]]&lt;UIoptions!$T$17),1,0))</f>
        <v>1</v>
      </c>
      <c r="BM319" s="38" t="e">
        <f>IF(SUM(PCdb[[#This Row],[BDhit]:[THREAD_Lhit]])=11,1,0)</f>
        <v>#N/A</v>
      </c>
      <c r="BN31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352441228NA42NANAM410.24</v>
      </c>
      <c r="BO319" s="38" t="e">
        <f>SUM(PCdb[[#This Row],[BDhit]:[THREAD_Lhit]])</f>
        <v>#N/A</v>
      </c>
    </row>
    <row r="320" spans="1:67" x14ac:dyDescent="0.25">
      <c r="A320" s="7">
        <v>327</v>
      </c>
      <c r="B320" s="93">
        <v>70</v>
      </c>
      <c r="C320" s="93">
        <v>50</v>
      </c>
      <c r="D320" s="93">
        <v>8.5</v>
      </c>
      <c r="E320" s="93">
        <v>16</v>
      </c>
      <c r="F320" s="93">
        <v>37</v>
      </c>
      <c r="G320" s="93">
        <v>60</v>
      </c>
      <c r="H320" s="93" t="s">
        <v>87</v>
      </c>
      <c r="I320" s="93">
        <v>6</v>
      </c>
      <c r="J320" s="93" t="s">
        <v>45</v>
      </c>
      <c r="K320" s="93" t="s">
        <v>87</v>
      </c>
      <c r="L320" s="93" t="s">
        <v>87</v>
      </c>
      <c r="M320" s="93">
        <v>4</v>
      </c>
      <c r="N320" s="38" t="s">
        <v>45</v>
      </c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 t="s">
        <v>87</v>
      </c>
      <c r="AW320" s="38" t="s">
        <v>87</v>
      </c>
      <c r="AX320" s="38" t="s">
        <v>130</v>
      </c>
      <c r="AY320" s="34" t="s">
        <v>713</v>
      </c>
      <c r="AZ320" s="38">
        <v>45</v>
      </c>
      <c r="BA320" s="38">
        <v>90</v>
      </c>
      <c r="BB320" s="38">
        <f>IF(AND(PCdb[[#This Row],[BCD]]&gt;UIoptions!$S$10,PCdb[[#This Row],[BCD]]&lt;UIoptions!$T$10),1,0)</f>
        <v>0</v>
      </c>
      <c r="BC320" s="38">
        <f>IF(AND(PCdb[[#This Row],[PD]]&gt;UIoptions!$S$11,PCdb[[#This Row],[PD]]&lt;UIoptions!$T$11),1,0)</f>
        <v>0</v>
      </c>
      <c r="BD320" s="38">
        <f>IF(AND(UIoptions!$P$14&lt;=PCdb[[#This Row],[PL (MAX)]],UIoptions!$P$14&gt;UIoptions!$S$14),1,0)</f>
        <v>1</v>
      </c>
      <c r="BE320" s="38">
        <f>IF(AND(PCdb[[#This Row],[SD]]&gt;UIoptions!$S$12,PCdb[[#This Row],[SD]]&lt;UIoptions!$T$12),1,0)</f>
        <v>0</v>
      </c>
      <c r="BF320" s="38">
        <f>IF(AND(PCdb[[#This Row],[SL]]&gt;UIoptions!$S$13,PCdb[[#This Row],[SL]]&lt;UIoptions!$T$13),1,0)</f>
        <v>0</v>
      </c>
      <c r="BG320" s="38">
        <f>IF(UIoptions!$N$35=1,IF(AND(PCdb[[#This Row],[SQ_SZ]]&gt;UIoptions!$S$15,PCdb[[#This Row],[SQ_SZ]]&lt;UIoptions!$T$15),1,0),1)</f>
        <v>0</v>
      </c>
      <c r="BH320" s="38">
        <f>IF(UIoptions!$N$35=2,IF(AND(PCdb[[#This Row],[ROUND_D]]&gt;UIoptions!$S$15,PCdb[[#This Row],[ROUND_D]]&lt;UIoptions!$T$15),1,0),1)</f>
        <v>1</v>
      </c>
      <c r="BI320" s="38">
        <f>IF(UIoptions!$N$75&lt;&gt;1,1,IF(AND(PCdb[[#This Row],[FL]]&gt;UIoptions!$S$16,PCdb[[#This Row],[FL]]&lt;UIoptions!$T$16),1,0))</f>
        <v>0</v>
      </c>
      <c r="BJ320" s="38" t="e">
        <f>IF(OR(UIoptions!$Q$18=PCdb[[#This Row],[THRU_SCREW]],UIoptions!$Q$18="NA"),1,0)</f>
        <v>#N/A</v>
      </c>
      <c r="BK320" s="38">
        <f>IF(OR(UIoptions!$P$19=PCdb[[#This Row],[THREAD_SZ]],UIoptions!$P$19="NA"),1,0)</f>
        <v>1</v>
      </c>
      <c r="BL320" s="38">
        <f>IF(UIoptions!$N$75=1,1,IF(AND(PCdb[[#This Row],[THREAD_L]]&gt;UIoptions!$S$17,PCdb[[#This Row],[THREAD_L]]&lt;UIoptions!$T$17),1,0))</f>
        <v>1</v>
      </c>
      <c r="BM320" s="38" t="e">
        <f>IF(SUM(PCdb[[#This Row],[BDhit]:[THREAD_Lhit]])=11,1,0)</f>
        <v>#N/A</v>
      </c>
      <c r="BN32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70508.5163760NA6M5NANA4</v>
      </c>
      <c r="BO320" s="38" t="e">
        <f>SUM(PCdb[[#This Row],[BDhit]:[THREAD_Lhit]])</f>
        <v>#N/A</v>
      </c>
    </row>
    <row r="321" spans="1:67" x14ac:dyDescent="0.25">
      <c r="A321" s="7">
        <v>328</v>
      </c>
      <c r="B321" s="93">
        <v>80</v>
      </c>
      <c r="C321" s="93">
        <v>64</v>
      </c>
      <c r="D321" s="93">
        <v>4</v>
      </c>
      <c r="E321" s="93">
        <v>16</v>
      </c>
      <c r="F321" s="93">
        <v>39.5</v>
      </c>
      <c r="G321" s="93" t="s">
        <v>87</v>
      </c>
      <c r="H321" s="93">
        <v>90</v>
      </c>
      <c r="I321" s="93" t="s">
        <v>87</v>
      </c>
      <c r="J321" s="93" t="s">
        <v>87</v>
      </c>
      <c r="K321" s="93" t="s">
        <v>49</v>
      </c>
      <c r="L321" s="93">
        <v>12</v>
      </c>
      <c r="M321" s="93">
        <v>4</v>
      </c>
      <c r="N321" s="38" t="s">
        <v>49</v>
      </c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 t="s">
        <v>87</v>
      </c>
      <c r="AW321" s="38" t="s">
        <v>87</v>
      </c>
      <c r="AX321" s="38" t="s">
        <v>87</v>
      </c>
      <c r="AY321" s="38" t="s">
        <v>281</v>
      </c>
      <c r="AZ321" s="38">
        <v>45</v>
      </c>
      <c r="BA321" s="38">
        <v>90</v>
      </c>
      <c r="BB321" s="38">
        <f>IF(AND(PCdb[[#This Row],[BCD]]&gt;UIoptions!$S$10,PCdb[[#This Row],[BCD]]&lt;UIoptions!$T$10),1,0)</f>
        <v>0</v>
      </c>
      <c r="BC321" s="38">
        <f>IF(AND(PCdb[[#This Row],[PD]]&gt;UIoptions!$S$11,PCdb[[#This Row],[PD]]&lt;UIoptions!$T$11),1,0)</f>
        <v>0</v>
      </c>
      <c r="BD321" s="38">
        <f>IF(AND(UIoptions!$P$14&lt;=PCdb[[#This Row],[PL (MAX)]],UIoptions!$P$14&gt;UIoptions!$S$14),1,0)</f>
        <v>1</v>
      </c>
      <c r="BE321" s="38">
        <f>IF(AND(PCdb[[#This Row],[SD]]&gt;UIoptions!$S$12,PCdb[[#This Row],[SD]]&lt;UIoptions!$T$12),1,0)</f>
        <v>0</v>
      </c>
      <c r="BF321" s="38">
        <f>IF(AND(PCdb[[#This Row],[SL]]&gt;UIoptions!$S$13,PCdb[[#This Row],[SL]]&lt;UIoptions!$T$13),1,0)</f>
        <v>0</v>
      </c>
      <c r="BG321" s="38">
        <f>IF(UIoptions!$N$35=1,IF(AND(PCdb[[#This Row],[SQ_SZ]]&gt;UIoptions!$S$15,PCdb[[#This Row],[SQ_SZ]]&lt;UIoptions!$T$15),1,0),1)</f>
        <v>0</v>
      </c>
      <c r="BH321" s="38">
        <f>IF(UIoptions!$N$35=2,IF(AND(PCdb[[#This Row],[ROUND_D]]&gt;UIoptions!$S$15,PCdb[[#This Row],[ROUND_D]]&lt;UIoptions!$T$15),1,0),1)</f>
        <v>1</v>
      </c>
      <c r="BI321" s="38">
        <f>IF(UIoptions!$N$75&lt;&gt;1,1,IF(AND(PCdb[[#This Row],[FL]]&gt;UIoptions!$S$16,PCdb[[#This Row],[FL]]&lt;UIoptions!$T$16),1,0))</f>
        <v>0</v>
      </c>
      <c r="BJ321" s="38" t="e">
        <f>IF(OR(UIoptions!$Q$18=PCdb[[#This Row],[THRU_SCREW]],UIoptions!$Q$18="NA"),1,0)</f>
        <v>#N/A</v>
      </c>
      <c r="BK321" s="38">
        <f>IF(OR(UIoptions!$P$19=PCdb[[#This Row],[THREAD_SZ]],UIoptions!$P$19="NA"),1,0)</f>
        <v>1</v>
      </c>
      <c r="BL321" s="38">
        <f>IF(UIoptions!$N$75=1,1,IF(AND(PCdb[[#This Row],[THREAD_L]]&gt;UIoptions!$S$17,PCdb[[#This Row],[THREAD_L]]&lt;UIoptions!$T$17),1,0))</f>
        <v>1</v>
      </c>
      <c r="BM321" s="38" t="e">
        <f>IF(SUM(PCdb[[#This Row],[BDhit]:[THREAD_Lhit]])=11,1,0)</f>
        <v>#N/A</v>
      </c>
      <c r="BN32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806441639.5NA90NANAM6124</v>
      </c>
      <c r="BO321" s="38" t="e">
        <f>SUM(PCdb[[#This Row],[BDhit]:[THREAD_Lhit]])</f>
        <v>#N/A</v>
      </c>
    </row>
    <row r="322" spans="1:67" x14ac:dyDescent="0.25">
      <c r="A322" s="7">
        <v>329</v>
      </c>
      <c r="B322" s="93">
        <v>70</v>
      </c>
      <c r="C322" s="93">
        <v>50</v>
      </c>
      <c r="D322" s="93">
        <v>7</v>
      </c>
      <c r="E322" s="93">
        <v>16</v>
      </c>
      <c r="F322" s="93">
        <v>35</v>
      </c>
      <c r="G322" s="93">
        <v>60</v>
      </c>
      <c r="H322" s="93" t="s">
        <v>87</v>
      </c>
      <c r="I322" s="93">
        <v>10</v>
      </c>
      <c r="J322" s="93" t="s">
        <v>45</v>
      </c>
      <c r="K322" s="93" t="s">
        <v>87</v>
      </c>
      <c r="L322" s="93" t="s">
        <v>87</v>
      </c>
      <c r="M322" s="93">
        <v>4</v>
      </c>
      <c r="N322" s="38" t="s">
        <v>45</v>
      </c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 t="s">
        <v>87</v>
      </c>
      <c r="AW322" s="38" t="s">
        <v>87</v>
      </c>
      <c r="AX322" s="38" t="s">
        <v>130</v>
      </c>
      <c r="AY322" s="34" t="s">
        <v>717</v>
      </c>
      <c r="AZ322" s="38">
        <v>45</v>
      </c>
      <c r="BA322" s="38">
        <v>90</v>
      </c>
      <c r="BB322" s="38">
        <f>IF(AND(PCdb[[#This Row],[BCD]]&gt;UIoptions!$S$10,PCdb[[#This Row],[BCD]]&lt;UIoptions!$T$10),1,0)</f>
        <v>0</v>
      </c>
      <c r="BC322" s="38">
        <f>IF(AND(PCdb[[#This Row],[PD]]&gt;UIoptions!$S$11,PCdb[[#This Row],[PD]]&lt;UIoptions!$T$11),1,0)</f>
        <v>0</v>
      </c>
      <c r="BD322" s="38">
        <f>IF(AND(UIoptions!$P$14&lt;=PCdb[[#This Row],[PL (MAX)]],UIoptions!$P$14&gt;UIoptions!$S$14),1,0)</f>
        <v>1</v>
      </c>
      <c r="BE322" s="38">
        <f>IF(AND(PCdb[[#This Row],[SD]]&gt;UIoptions!$S$12,PCdb[[#This Row],[SD]]&lt;UIoptions!$T$12),1,0)</f>
        <v>0</v>
      </c>
      <c r="BF322" s="38">
        <f>IF(AND(PCdb[[#This Row],[SL]]&gt;UIoptions!$S$13,PCdb[[#This Row],[SL]]&lt;UIoptions!$T$13),1,0)</f>
        <v>0</v>
      </c>
      <c r="BG322" s="38">
        <f>IF(UIoptions!$N$35=1,IF(AND(PCdb[[#This Row],[SQ_SZ]]&gt;UIoptions!$S$15,PCdb[[#This Row],[SQ_SZ]]&lt;UIoptions!$T$15),1,0),1)</f>
        <v>0</v>
      </c>
      <c r="BH322" s="38">
        <f>IF(UIoptions!$N$35=2,IF(AND(PCdb[[#This Row],[ROUND_D]]&gt;UIoptions!$S$15,PCdb[[#This Row],[ROUND_D]]&lt;UIoptions!$T$15),1,0),1)</f>
        <v>1</v>
      </c>
      <c r="BI322" s="38">
        <f>IF(UIoptions!$N$75&lt;&gt;1,1,IF(AND(PCdb[[#This Row],[FL]]&gt;UIoptions!$S$16,PCdb[[#This Row],[FL]]&lt;UIoptions!$T$16),1,0))</f>
        <v>0</v>
      </c>
      <c r="BJ322" s="38" t="e">
        <f>IF(OR(UIoptions!$Q$18=PCdb[[#This Row],[THRU_SCREW]],UIoptions!$Q$18="NA"),1,0)</f>
        <v>#N/A</v>
      </c>
      <c r="BK322" s="38">
        <f>IF(OR(UIoptions!$P$19=PCdb[[#This Row],[THREAD_SZ]],UIoptions!$P$19="NA"),1,0)</f>
        <v>1</v>
      </c>
      <c r="BL322" s="38">
        <f>IF(UIoptions!$N$75=1,1,IF(AND(PCdb[[#This Row],[THREAD_L]]&gt;UIoptions!$S$17,PCdb[[#This Row],[THREAD_L]]&lt;UIoptions!$T$17),1,0))</f>
        <v>1</v>
      </c>
      <c r="BM322" s="38" t="e">
        <f>IF(SUM(PCdb[[#This Row],[BDhit]:[THREAD_Lhit]])=11,1,0)</f>
        <v>#N/A</v>
      </c>
      <c r="BN32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70507163560NA10M5NANA4</v>
      </c>
      <c r="BO322" s="38" t="e">
        <f>SUM(PCdb[[#This Row],[BDhit]:[THREAD_Lhit]])</f>
        <v>#N/A</v>
      </c>
    </row>
    <row r="323" spans="1:67" x14ac:dyDescent="0.25">
      <c r="A323" s="7">
        <v>330</v>
      </c>
      <c r="B323" s="93">
        <v>98.4</v>
      </c>
      <c r="C323" s="93">
        <v>73.03</v>
      </c>
      <c r="D323" s="93">
        <v>4</v>
      </c>
      <c r="E323" s="93">
        <v>14</v>
      </c>
      <c r="F323" s="93">
        <v>30</v>
      </c>
      <c r="G323" s="93">
        <v>86</v>
      </c>
      <c r="H323" s="93" t="s">
        <v>87</v>
      </c>
      <c r="I323" s="93">
        <v>9</v>
      </c>
      <c r="J323" s="93" t="s">
        <v>49</v>
      </c>
      <c r="K323" s="93" t="s">
        <v>87</v>
      </c>
      <c r="L323" s="93" t="s">
        <v>87</v>
      </c>
      <c r="M323" s="93">
        <v>4</v>
      </c>
      <c r="N323" s="38" t="s">
        <v>49</v>
      </c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>
        <v>40</v>
      </c>
      <c r="AW323" s="38" t="s">
        <v>87</v>
      </c>
      <c r="AX323" s="38" t="s">
        <v>130</v>
      </c>
      <c r="AY323" s="38" t="s">
        <v>177</v>
      </c>
      <c r="AZ323" s="38">
        <v>45</v>
      </c>
      <c r="BA323" s="38">
        <v>90</v>
      </c>
      <c r="BB323" s="38">
        <f>IF(AND(PCdb[[#This Row],[BCD]]&gt;UIoptions!$S$10,PCdb[[#This Row],[BCD]]&lt;UIoptions!$T$10),1,0)</f>
        <v>0</v>
      </c>
      <c r="BC323" s="38">
        <f>IF(AND(PCdb[[#This Row],[PD]]&gt;UIoptions!$S$11,PCdb[[#This Row],[PD]]&lt;UIoptions!$T$11),1,0)</f>
        <v>0</v>
      </c>
      <c r="BD323" s="38">
        <f>IF(AND(UIoptions!$P$14&lt;=PCdb[[#This Row],[PL (MAX)]],UIoptions!$P$14&gt;UIoptions!$S$14),1,0)</f>
        <v>1</v>
      </c>
      <c r="BE323" s="38">
        <f>IF(AND(PCdb[[#This Row],[SD]]&gt;UIoptions!$S$12,PCdb[[#This Row],[SD]]&lt;UIoptions!$T$12),1,0)</f>
        <v>0</v>
      </c>
      <c r="BF323" s="38">
        <f>IF(AND(PCdb[[#This Row],[SL]]&gt;UIoptions!$S$13,PCdb[[#This Row],[SL]]&lt;UIoptions!$T$13),1,0)</f>
        <v>0</v>
      </c>
      <c r="BG323" s="38">
        <f>IF(UIoptions!$N$35=1,IF(AND(PCdb[[#This Row],[SQ_SZ]]&gt;UIoptions!$S$15,PCdb[[#This Row],[SQ_SZ]]&lt;UIoptions!$T$15),1,0),1)</f>
        <v>0</v>
      </c>
      <c r="BH323" s="38">
        <f>IF(UIoptions!$N$35=2,IF(AND(PCdb[[#This Row],[ROUND_D]]&gt;UIoptions!$S$15,PCdb[[#This Row],[ROUND_D]]&lt;UIoptions!$T$15),1,0),1)</f>
        <v>1</v>
      </c>
      <c r="BI323" s="38">
        <f>IF(UIoptions!$N$75&lt;&gt;1,1,IF(AND(PCdb[[#This Row],[FL]]&gt;UIoptions!$S$16,PCdb[[#This Row],[FL]]&lt;UIoptions!$T$16),1,0))</f>
        <v>0</v>
      </c>
      <c r="BJ323" s="38" t="e">
        <f>IF(OR(UIoptions!$Q$18=PCdb[[#This Row],[THRU_SCREW]],UIoptions!$Q$18="NA"),1,0)</f>
        <v>#N/A</v>
      </c>
      <c r="BK323" s="38">
        <f>IF(OR(UIoptions!$P$19=PCdb[[#This Row],[THREAD_SZ]],UIoptions!$P$19="NA"),1,0)</f>
        <v>1</v>
      </c>
      <c r="BL323" s="38">
        <f>IF(UIoptions!$N$75=1,1,IF(AND(PCdb[[#This Row],[THREAD_L]]&gt;UIoptions!$S$17,PCdb[[#This Row],[THREAD_L]]&lt;UIoptions!$T$17),1,0))</f>
        <v>1</v>
      </c>
      <c r="BM323" s="38" t="e">
        <f>IF(SUM(PCdb[[#This Row],[BDhit]:[THREAD_Lhit]])=11,1,0)</f>
        <v>#N/A</v>
      </c>
      <c r="BN32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98.473.034143086NA9M6NANA4</v>
      </c>
      <c r="BO323" s="38" t="e">
        <f>SUM(PCdb[[#This Row],[BDhit]:[THREAD_Lhit]])</f>
        <v>#N/A</v>
      </c>
    </row>
    <row r="324" spans="1:67" x14ac:dyDescent="0.25">
      <c r="A324" s="7">
        <v>331</v>
      </c>
      <c r="B324" s="93">
        <v>66.7</v>
      </c>
      <c r="C324" s="93">
        <v>38.1</v>
      </c>
      <c r="D324" s="93">
        <v>4</v>
      </c>
      <c r="E324" s="93">
        <v>8</v>
      </c>
      <c r="F324" s="93">
        <v>20.6</v>
      </c>
      <c r="G324" s="93">
        <v>56.6</v>
      </c>
      <c r="H324" s="93" t="s">
        <v>87</v>
      </c>
      <c r="I324" s="93">
        <v>5</v>
      </c>
      <c r="J324" s="93" t="s">
        <v>7</v>
      </c>
      <c r="K324" s="93" t="s">
        <v>87</v>
      </c>
      <c r="L324" s="93" t="s">
        <v>87</v>
      </c>
      <c r="M324" s="93">
        <v>4</v>
      </c>
      <c r="N324" s="38" t="s">
        <v>7</v>
      </c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>
        <v>22</v>
      </c>
      <c r="AK324" s="38" t="s">
        <v>87</v>
      </c>
      <c r="AL324" s="38" t="s">
        <v>130</v>
      </c>
      <c r="AM324" s="38" t="s">
        <v>177</v>
      </c>
      <c r="AN324" s="38">
        <v>45</v>
      </c>
      <c r="AO324" s="38">
        <v>90</v>
      </c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>
        <f>IF(AND(PCdb[[#This Row],[BCD]]&gt;UIoptions!$S$10,PCdb[[#This Row],[BCD]]&lt;UIoptions!$T$10),1,0)</f>
        <v>0</v>
      </c>
      <c r="BC324" s="38">
        <f>IF(AND(PCdb[[#This Row],[PD]]&gt;UIoptions!$S$11,PCdb[[#This Row],[PD]]&lt;UIoptions!$T$11),1,0)</f>
        <v>0</v>
      </c>
      <c r="BD324" s="38">
        <f>IF(AND(UIoptions!$P$14&lt;=PCdb[[#This Row],[PL (MAX)]],UIoptions!$P$14&gt;UIoptions!$S$14),1,0)</f>
        <v>1</v>
      </c>
      <c r="BE324" s="38">
        <f>IF(AND(PCdb[[#This Row],[SD]]&gt;UIoptions!$S$12,PCdb[[#This Row],[SD]]&lt;UIoptions!$T$12),1,0)</f>
        <v>0</v>
      </c>
      <c r="BF324" s="38">
        <f>IF(AND(PCdb[[#This Row],[SL]]&gt;UIoptions!$S$13,PCdb[[#This Row],[SL]]&lt;UIoptions!$T$13),1,0)</f>
        <v>0</v>
      </c>
      <c r="BG324" s="38">
        <f>IF(UIoptions!$N$35=1,IF(AND(PCdb[[#This Row],[SQ_SZ]]&gt;UIoptions!$S$15,PCdb[[#This Row],[SQ_SZ]]&lt;UIoptions!$T$15),1,0),1)</f>
        <v>0</v>
      </c>
      <c r="BH324" s="38">
        <f>IF(UIoptions!$N$35=2,IF(AND(PCdb[[#This Row],[ROUND_D]]&gt;UIoptions!$S$15,PCdb[[#This Row],[ROUND_D]]&lt;UIoptions!$T$15),1,0),1)</f>
        <v>1</v>
      </c>
      <c r="BI324" s="38">
        <f>IF(UIoptions!$N$75&lt;&gt;1,1,IF(AND(PCdb[[#This Row],[FL]]&gt;UIoptions!$S$16,PCdb[[#This Row],[FL]]&lt;UIoptions!$T$16),1,0))</f>
        <v>0</v>
      </c>
      <c r="BJ324" s="38" t="e">
        <f>IF(OR(UIoptions!$Q$18=PCdb[[#This Row],[THRU_SCREW]],UIoptions!$Q$18="NA"),1,0)</f>
        <v>#N/A</v>
      </c>
      <c r="BK324" s="38">
        <f>IF(OR(UIoptions!$P$19=PCdb[[#This Row],[THREAD_SZ]],UIoptions!$P$19="NA"),1,0)</f>
        <v>1</v>
      </c>
      <c r="BL324" s="38">
        <f>IF(UIoptions!$N$75=1,1,IF(AND(PCdb[[#This Row],[THREAD_L]]&gt;UIoptions!$S$17,PCdb[[#This Row],[THREAD_L]]&lt;UIoptions!$T$17),1,0))</f>
        <v>1</v>
      </c>
      <c r="BM324" s="38" t="e">
        <f>IF(SUM(PCdb[[#This Row],[BDhit]:[THREAD_Lhit]])=11,1,0)</f>
        <v>#N/A</v>
      </c>
      <c r="BN32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66.738.14820.656.6NA5M4NANA4</v>
      </c>
      <c r="BO324" s="38" t="e">
        <f>SUM(PCdb[[#This Row],[BDhit]:[THREAD_Lhit]])</f>
        <v>#N/A</v>
      </c>
    </row>
    <row r="325" spans="1:67" x14ac:dyDescent="0.25">
      <c r="A325" s="7">
        <v>332</v>
      </c>
      <c r="B325" s="93">
        <v>70</v>
      </c>
      <c r="C325" s="93">
        <v>37</v>
      </c>
      <c r="D325" s="93">
        <v>4</v>
      </c>
      <c r="E325" s="93">
        <v>12</v>
      </c>
      <c r="F325" s="93">
        <v>34</v>
      </c>
      <c r="G325" s="93">
        <v>60</v>
      </c>
      <c r="H325" s="93" t="s">
        <v>87</v>
      </c>
      <c r="I325" s="93" t="s">
        <v>87</v>
      </c>
      <c r="J325" s="93" t="s">
        <v>87</v>
      </c>
      <c r="K325" s="93" t="s">
        <v>45</v>
      </c>
      <c r="L325" s="93">
        <v>10</v>
      </c>
      <c r="M325" s="93">
        <v>4</v>
      </c>
      <c r="N325" s="38">
        <v>6</v>
      </c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 t="s">
        <v>87</v>
      </c>
      <c r="AQ325" s="38" t="s">
        <v>87</v>
      </c>
      <c r="AR325" s="38" t="s">
        <v>180</v>
      </c>
      <c r="AS325" s="38" t="s">
        <v>281</v>
      </c>
      <c r="AT325" s="38">
        <v>45</v>
      </c>
      <c r="AU325" s="38">
        <v>90</v>
      </c>
      <c r="AV325" s="38"/>
      <c r="AW325" s="38"/>
      <c r="AX325" s="38"/>
      <c r="AY325" s="38"/>
      <c r="AZ325" s="38"/>
      <c r="BA325" s="38"/>
      <c r="BB325" s="38">
        <f>IF(AND(PCdb[[#This Row],[BCD]]&gt;UIoptions!$S$10,PCdb[[#This Row],[BCD]]&lt;UIoptions!$T$10),1,0)</f>
        <v>0</v>
      </c>
      <c r="BC325" s="38">
        <f>IF(AND(PCdb[[#This Row],[PD]]&gt;UIoptions!$S$11,PCdb[[#This Row],[PD]]&lt;UIoptions!$T$11),1,0)</f>
        <v>0</v>
      </c>
      <c r="BD325" s="38">
        <f>IF(AND(UIoptions!$P$14&lt;=PCdb[[#This Row],[PL (MAX)]],UIoptions!$P$14&gt;UIoptions!$S$14),1,0)</f>
        <v>1</v>
      </c>
      <c r="BE325" s="38">
        <f>IF(AND(PCdb[[#This Row],[SD]]&gt;UIoptions!$S$12,PCdb[[#This Row],[SD]]&lt;UIoptions!$T$12),1,0)</f>
        <v>0</v>
      </c>
      <c r="BF325" s="38">
        <f>IF(AND(PCdb[[#This Row],[SL]]&gt;UIoptions!$S$13,PCdb[[#This Row],[SL]]&lt;UIoptions!$T$13),1,0)</f>
        <v>0</v>
      </c>
      <c r="BG325" s="38">
        <f>IF(UIoptions!$N$35=1,IF(AND(PCdb[[#This Row],[SQ_SZ]]&gt;UIoptions!$S$15,PCdb[[#This Row],[SQ_SZ]]&lt;UIoptions!$T$15),1,0),1)</f>
        <v>0</v>
      </c>
      <c r="BH325" s="38">
        <f>IF(UIoptions!$N$35=2,IF(AND(PCdb[[#This Row],[ROUND_D]]&gt;UIoptions!$S$15,PCdb[[#This Row],[ROUND_D]]&lt;UIoptions!$T$15),1,0),1)</f>
        <v>1</v>
      </c>
      <c r="BI325" s="38">
        <f>IF(UIoptions!$N$75&lt;&gt;1,1,IF(AND(PCdb[[#This Row],[FL]]&gt;UIoptions!$S$16,PCdb[[#This Row],[FL]]&lt;UIoptions!$T$16),1,0))</f>
        <v>0</v>
      </c>
      <c r="BJ325" s="38" t="e">
        <f>IF(OR(UIoptions!$Q$18=PCdb[[#This Row],[THRU_SCREW]],UIoptions!$Q$18="NA"),1,0)</f>
        <v>#N/A</v>
      </c>
      <c r="BK325" s="38">
        <f>IF(OR(UIoptions!$P$19=PCdb[[#This Row],[THREAD_SZ]],UIoptions!$P$19="NA"),1,0)</f>
        <v>1</v>
      </c>
      <c r="BL325" s="38">
        <f>IF(UIoptions!$N$75=1,1,IF(AND(PCdb[[#This Row],[THREAD_L]]&gt;UIoptions!$S$17,PCdb[[#This Row],[THREAD_L]]&lt;UIoptions!$T$17),1,0))</f>
        <v>1</v>
      </c>
      <c r="BM325" s="38" t="e">
        <f>IF(SUM(PCdb[[#This Row],[BDhit]:[THREAD_Lhit]])=11,1,0)</f>
        <v>#N/A</v>
      </c>
      <c r="BN32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70374123460NANANAM5104</v>
      </c>
      <c r="BO325" s="38" t="e">
        <f>SUM(PCdb[[#This Row],[BDhit]:[THREAD_Lhit]])</f>
        <v>#N/A</v>
      </c>
    </row>
    <row r="326" spans="1:67" x14ac:dyDescent="0.25">
      <c r="A326" s="7">
        <v>333</v>
      </c>
      <c r="B326" s="93">
        <v>62</v>
      </c>
      <c r="C326" s="93">
        <v>50</v>
      </c>
      <c r="D326" s="93">
        <v>17</v>
      </c>
      <c r="E326" s="93">
        <v>14</v>
      </c>
      <c r="F326" s="93">
        <v>39</v>
      </c>
      <c r="G326" s="93">
        <v>56</v>
      </c>
      <c r="H326" s="93" t="s">
        <v>87</v>
      </c>
      <c r="I326" s="93">
        <v>7</v>
      </c>
      <c r="J326" s="93" t="s">
        <v>45</v>
      </c>
      <c r="K326" s="93" t="s">
        <v>87</v>
      </c>
      <c r="L326" s="93" t="s">
        <v>87</v>
      </c>
      <c r="M326" s="93">
        <v>4</v>
      </c>
      <c r="N326" s="38" t="s">
        <v>45</v>
      </c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 t="s">
        <v>87</v>
      </c>
      <c r="AW326" s="38" t="s">
        <v>87</v>
      </c>
      <c r="AX326" s="38" t="s">
        <v>130</v>
      </c>
      <c r="AY326" s="38" t="s">
        <v>719</v>
      </c>
      <c r="AZ326" s="38">
        <v>45</v>
      </c>
      <c r="BA326" s="38">
        <v>90</v>
      </c>
      <c r="BB326" s="38">
        <f>IF(AND(PCdb[[#This Row],[BCD]]&gt;UIoptions!$S$10,PCdb[[#This Row],[BCD]]&lt;UIoptions!$T$10),1,0)</f>
        <v>0</v>
      </c>
      <c r="BC326" s="38">
        <f>IF(AND(PCdb[[#This Row],[PD]]&gt;UIoptions!$S$11,PCdb[[#This Row],[PD]]&lt;UIoptions!$T$11),1,0)</f>
        <v>0</v>
      </c>
      <c r="BD326" s="38">
        <f>IF(AND(UIoptions!$P$14&lt;=PCdb[[#This Row],[PL (MAX)]],UIoptions!$P$14&gt;UIoptions!$S$14),1,0)</f>
        <v>1</v>
      </c>
      <c r="BE326" s="38">
        <f>IF(AND(PCdb[[#This Row],[SD]]&gt;UIoptions!$S$12,PCdb[[#This Row],[SD]]&lt;UIoptions!$T$12),1,0)</f>
        <v>0</v>
      </c>
      <c r="BF326" s="38">
        <f>IF(AND(PCdb[[#This Row],[SL]]&gt;UIoptions!$S$13,PCdb[[#This Row],[SL]]&lt;UIoptions!$T$13),1,0)</f>
        <v>0</v>
      </c>
      <c r="BG326" s="38">
        <f>IF(UIoptions!$N$35=1,IF(AND(PCdb[[#This Row],[SQ_SZ]]&gt;UIoptions!$S$15,PCdb[[#This Row],[SQ_SZ]]&lt;UIoptions!$T$15),1,0),1)</f>
        <v>0</v>
      </c>
      <c r="BH326" s="38">
        <f>IF(UIoptions!$N$35=2,IF(AND(PCdb[[#This Row],[ROUND_D]]&gt;UIoptions!$S$15,PCdb[[#This Row],[ROUND_D]]&lt;UIoptions!$T$15),1,0),1)</f>
        <v>1</v>
      </c>
      <c r="BI326" s="38">
        <f>IF(UIoptions!$N$75&lt;&gt;1,1,IF(AND(PCdb[[#This Row],[FL]]&gt;UIoptions!$S$16,PCdb[[#This Row],[FL]]&lt;UIoptions!$T$16),1,0))</f>
        <v>0</v>
      </c>
      <c r="BJ326" s="38" t="e">
        <f>IF(OR(UIoptions!$Q$18=PCdb[[#This Row],[THRU_SCREW]],UIoptions!$Q$18="NA"),1,0)</f>
        <v>#N/A</v>
      </c>
      <c r="BK326" s="38">
        <f>IF(OR(UIoptions!$P$19=PCdb[[#This Row],[THREAD_SZ]],UIoptions!$P$19="NA"),1,0)</f>
        <v>1</v>
      </c>
      <c r="BL326" s="38">
        <f>IF(UIoptions!$N$75=1,1,IF(AND(PCdb[[#This Row],[THREAD_L]]&gt;UIoptions!$S$17,PCdb[[#This Row],[THREAD_L]]&lt;UIoptions!$T$17),1,0))</f>
        <v>1</v>
      </c>
      <c r="BM326" s="38" t="e">
        <f>IF(SUM(PCdb[[#This Row],[BDhit]:[THREAD_Lhit]])=11,1,0)</f>
        <v>#N/A</v>
      </c>
      <c r="BN326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625017143956NA7M5NANA4</v>
      </c>
      <c r="BO326" s="38" t="e">
        <f>SUM(PCdb[[#This Row],[BDhit]:[THREAD_Lhit]])</f>
        <v>#N/A</v>
      </c>
    </row>
    <row r="327" spans="1:67" x14ac:dyDescent="0.25">
      <c r="A327" s="7">
        <v>334</v>
      </c>
      <c r="B327" s="93">
        <v>70</v>
      </c>
      <c r="C327" s="93">
        <v>50</v>
      </c>
      <c r="D327" s="93">
        <v>4</v>
      </c>
      <c r="E327" s="93">
        <v>10</v>
      </c>
      <c r="F327" s="93">
        <v>30</v>
      </c>
      <c r="G327" s="93">
        <v>60</v>
      </c>
      <c r="H327" s="93" t="s">
        <v>87</v>
      </c>
      <c r="I327" s="93">
        <v>8</v>
      </c>
      <c r="J327" s="93" t="s">
        <v>45</v>
      </c>
      <c r="K327" s="93" t="s">
        <v>87</v>
      </c>
      <c r="L327" s="93" t="s">
        <v>87</v>
      </c>
      <c r="M327" s="93">
        <v>4</v>
      </c>
      <c r="N327" s="38" t="s">
        <v>45</v>
      </c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>
        <v>27</v>
      </c>
      <c r="AK327" s="38" t="s">
        <v>87</v>
      </c>
      <c r="AL327" s="38" t="s">
        <v>130</v>
      </c>
      <c r="AM327" s="38" t="s">
        <v>177</v>
      </c>
      <c r="AN327" s="38">
        <v>45</v>
      </c>
      <c r="AO327" s="38">
        <v>90</v>
      </c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>
        <f>IF(AND(PCdb[[#This Row],[BCD]]&gt;UIoptions!$S$10,PCdb[[#This Row],[BCD]]&lt;UIoptions!$T$10),1,0)</f>
        <v>0</v>
      </c>
      <c r="BC327" s="38">
        <f>IF(AND(PCdb[[#This Row],[PD]]&gt;UIoptions!$S$11,PCdb[[#This Row],[PD]]&lt;UIoptions!$T$11),1,0)</f>
        <v>0</v>
      </c>
      <c r="BD327" s="38">
        <f>IF(AND(UIoptions!$P$14&lt;=PCdb[[#This Row],[PL (MAX)]],UIoptions!$P$14&gt;UIoptions!$S$14),1,0)</f>
        <v>1</v>
      </c>
      <c r="BE327" s="38">
        <f>IF(AND(PCdb[[#This Row],[SD]]&gt;UIoptions!$S$12,PCdb[[#This Row],[SD]]&lt;UIoptions!$T$12),1,0)</f>
        <v>0</v>
      </c>
      <c r="BF327" s="38">
        <f>IF(AND(PCdb[[#This Row],[SL]]&gt;UIoptions!$S$13,PCdb[[#This Row],[SL]]&lt;UIoptions!$T$13),1,0)</f>
        <v>0</v>
      </c>
      <c r="BG327" s="38">
        <f>IF(UIoptions!$N$35=1,IF(AND(PCdb[[#This Row],[SQ_SZ]]&gt;UIoptions!$S$15,PCdb[[#This Row],[SQ_SZ]]&lt;UIoptions!$T$15),1,0),1)</f>
        <v>0</v>
      </c>
      <c r="BH327" s="38">
        <f>IF(UIoptions!$N$35=2,IF(AND(PCdb[[#This Row],[ROUND_D]]&gt;UIoptions!$S$15,PCdb[[#This Row],[ROUND_D]]&lt;UIoptions!$T$15),1,0),1)</f>
        <v>1</v>
      </c>
      <c r="BI327" s="38">
        <f>IF(UIoptions!$N$75&lt;&gt;1,1,IF(AND(PCdb[[#This Row],[FL]]&gt;UIoptions!$S$16,PCdb[[#This Row],[FL]]&lt;UIoptions!$T$16),1,0))</f>
        <v>0</v>
      </c>
      <c r="BJ327" s="38" t="e">
        <f>IF(OR(UIoptions!$Q$18=PCdb[[#This Row],[THRU_SCREW]],UIoptions!$Q$18="NA"),1,0)</f>
        <v>#N/A</v>
      </c>
      <c r="BK327" s="38">
        <f>IF(OR(UIoptions!$P$19=PCdb[[#This Row],[THREAD_SZ]],UIoptions!$P$19="NA"),1,0)</f>
        <v>1</v>
      </c>
      <c r="BL327" s="38">
        <f>IF(UIoptions!$N$75=1,1,IF(AND(PCdb[[#This Row],[THREAD_L]]&gt;UIoptions!$S$17,PCdb[[#This Row],[THREAD_L]]&lt;UIoptions!$T$17),1,0))</f>
        <v>1</v>
      </c>
      <c r="BM327" s="38" t="e">
        <f>IF(SUM(PCdb[[#This Row],[BDhit]:[THREAD_Lhit]])=11,1,0)</f>
        <v>#N/A</v>
      </c>
      <c r="BN327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70504103060NA8M5NANA4</v>
      </c>
      <c r="BO327" s="38" t="e">
        <f>SUM(PCdb[[#This Row],[BDhit]:[THREAD_Lhit]])</f>
        <v>#N/A</v>
      </c>
    </row>
    <row r="328" spans="1:67" x14ac:dyDescent="0.25">
      <c r="A328" s="7">
        <v>335</v>
      </c>
      <c r="B328" s="93">
        <v>100</v>
      </c>
      <c r="C328" s="93">
        <v>80</v>
      </c>
      <c r="D328" s="93">
        <v>4</v>
      </c>
      <c r="E328" s="93">
        <v>16</v>
      </c>
      <c r="F328" s="93">
        <v>40</v>
      </c>
      <c r="G328" s="93">
        <v>89</v>
      </c>
      <c r="H328" s="93" t="s">
        <v>87</v>
      </c>
      <c r="I328" s="93">
        <v>9.9</v>
      </c>
      <c r="J328" s="93" t="s">
        <v>49</v>
      </c>
      <c r="K328" s="93" t="s">
        <v>87</v>
      </c>
      <c r="L328" s="93" t="s">
        <v>87</v>
      </c>
      <c r="M328" s="93">
        <v>4</v>
      </c>
      <c r="N328" s="38" t="s">
        <v>49</v>
      </c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25">
        <v>45.2</v>
      </c>
      <c r="AD328" s="38">
        <v>42</v>
      </c>
      <c r="AE328" s="38" t="s">
        <v>87</v>
      </c>
      <c r="AF328" s="38" t="s">
        <v>130</v>
      </c>
      <c r="AG328" s="38" t="s">
        <v>172</v>
      </c>
      <c r="AH328" s="38">
        <v>45</v>
      </c>
      <c r="AI328" s="38">
        <v>90</v>
      </c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>
        <f>IF(AND(PCdb[[#This Row],[BCD]]&gt;UIoptions!$S$10,PCdb[[#This Row],[BCD]]&lt;UIoptions!$T$10),1,0)</f>
        <v>0</v>
      </c>
      <c r="BC328" s="38">
        <f>IF(AND(PCdb[[#This Row],[PD]]&gt;UIoptions!$S$11,PCdb[[#This Row],[PD]]&lt;UIoptions!$T$11),1,0)</f>
        <v>0</v>
      </c>
      <c r="BD328" s="38">
        <f>IF(AND(UIoptions!$P$14&lt;=PCdb[[#This Row],[PL (MAX)]],UIoptions!$P$14&gt;UIoptions!$S$14),1,0)</f>
        <v>1</v>
      </c>
      <c r="BE328" s="38">
        <f>IF(AND(PCdb[[#This Row],[SD]]&gt;UIoptions!$S$12,PCdb[[#This Row],[SD]]&lt;UIoptions!$T$12),1,0)</f>
        <v>0</v>
      </c>
      <c r="BF328" s="38">
        <f>IF(AND(PCdb[[#This Row],[SL]]&gt;UIoptions!$S$13,PCdb[[#This Row],[SL]]&lt;UIoptions!$T$13),1,0)</f>
        <v>0</v>
      </c>
      <c r="BG328" s="38">
        <f>IF(UIoptions!$N$35=1,IF(AND(PCdb[[#This Row],[SQ_SZ]]&gt;UIoptions!$S$15,PCdb[[#This Row],[SQ_SZ]]&lt;UIoptions!$T$15),1,0),1)</f>
        <v>0</v>
      </c>
      <c r="BH328" s="38">
        <f>IF(UIoptions!$N$35=2,IF(AND(PCdb[[#This Row],[ROUND_D]]&gt;UIoptions!$S$15,PCdb[[#This Row],[ROUND_D]]&lt;UIoptions!$T$15),1,0),1)</f>
        <v>1</v>
      </c>
      <c r="BI328" s="38">
        <f>IF(UIoptions!$N$75&lt;&gt;1,1,IF(AND(PCdb[[#This Row],[FL]]&gt;UIoptions!$S$16,PCdb[[#This Row],[FL]]&lt;UIoptions!$T$16),1,0))</f>
        <v>0</v>
      </c>
      <c r="BJ328" s="38" t="e">
        <f>IF(OR(UIoptions!$Q$18=PCdb[[#This Row],[THRU_SCREW]],UIoptions!$Q$18="NA"),1,0)</f>
        <v>#N/A</v>
      </c>
      <c r="BK328" s="38">
        <f>IF(OR(UIoptions!$P$19=PCdb[[#This Row],[THREAD_SZ]],UIoptions!$P$19="NA"),1,0)</f>
        <v>1</v>
      </c>
      <c r="BL328" s="38">
        <f>IF(UIoptions!$N$75=1,1,IF(AND(PCdb[[#This Row],[THREAD_L]]&gt;UIoptions!$S$17,PCdb[[#This Row],[THREAD_L]]&lt;UIoptions!$T$17),1,0))</f>
        <v>1</v>
      </c>
      <c r="BM328" s="38" t="e">
        <f>IF(SUM(PCdb[[#This Row],[BDhit]:[THREAD_Lhit]])=11,1,0)</f>
        <v>#N/A</v>
      </c>
      <c r="BN328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100804164089NA9.9M6NANA4</v>
      </c>
      <c r="BO328" s="38" t="e">
        <f>SUM(PCdb[[#This Row],[BDhit]:[THREAD_Lhit]])</f>
        <v>#N/A</v>
      </c>
    </row>
    <row r="329" spans="1:67" x14ac:dyDescent="0.25">
      <c r="A329" s="7">
        <v>336</v>
      </c>
      <c r="B329" s="93">
        <v>56</v>
      </c>
      <c r="C329" s="93">
        <v>32</v>
      </c>
      <c r="D329" s="93">
        <v>4</v>
      </c>
      <c r="E329" s="93">
        <v>14</v>
      </c>
      <c r="F329" s="93">
        <v>30</v>
      </c>
      <c r="G329" s="93">
        <v>75</v>
      </c>
      <c r="H329" s="93" t="s">
        <v>87</v>
      </c>
      <c r="I329" s="93" t="s">
        <v>87</v>
      </c>
      <c r="J329" s="93" t="s">
        <v>87</v>
      </c>
      <c r="K329" s="93" t="s">
        <v>49</v>
      </c>
      <c r="L329" s="93">
        <v>10.5</v>
      </c>
      <c r="M329" s="93">
        <v>4</v>
      </c>
      <c r="N329" s="38">
        <v>7</v>
      </c>
      <c r="O329" s="38"/>
      <c r="P329" s="38"/>
      <c r="Q329" s="38"/>
      <c r="R329" s="38"/>
      <c r="S329" s="38"/>
      <c r="T329" s="38"/>
      <c r="U329" s="38"/>
      <c r="V329" s="25">
        <v>45.2</v>
      </c>
      <c r="W329" s="38" t="s">
        <v>87</v>
      </c>
      <c r="X329" s="38" t="s">
        <v>87</v>
      </c>
      <c r="Y329" s="38" t="s">
        <v>130</v>
      </c>
      <c r="Z329" s="38" t="s">
        <v>279</v>
      </c>
      <c r="AA329" s="38">
        <v>0</v>
      </c>
      <c r="AB329" s="38">
        <v>90</v>
      </c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>
        <f>IF(AND(PCdb[[#This Row],[BCD]]&gt;UIoptions!$S$10,PCdb[[#This Row],[BCD]]&lt;UIoptions!$T$10),1,0)</f>
        <v>0</v>
      </c>
      <c r="BC329" s="38">
        <f>IF(AND(PCdb[[#This Row],[PD]]&gt;UIoptions!$S$11,PCdb[[#This Row],[PD]]&lt;UIoptions!$T$11),1,0)</f>
        <v>0</v>
      </c>
      <c r="BD329" s="38">
        <f>IF(AND(UIoptions!$P$14&lt;=PCdb[[#This Row],[PL (MAX)]],UIoptions!$P$14&gt;UIoptions!$S$14),1,0)</f>
        <v>1</v>
      </c>
      <c r="BE329" s="38">
        <f>IF(AND(PCdb[[#This Row],[SD]]&gt;UIoptions!$S$12,PCdb[[#This Row],[SD]]&lt;UIoptions!$T$12),1,0)</f>
        <v>0</v>
      </c>
      <c r="BF329" s="38">
        <f>IF(AND(PCdb[[#This Row],[SL]]&gt;UIoptions!$S$13,PCdb[[#This Row],[SL]]&lt;UIoptions!$T$13),1,0)</f>
        <v>0</v>
      </c>
      <c r="BG329" s="38">
        <f>IF(UIoptions!$N$35=1,IF(AND(PCdb[[#This Row],[SQ_SZ]]&gt;UIoptions!$S$15,PCdb[[#This Row],[SQ_SZ]]&lt;UIoptions!$T$15),1,0),1)</f>
        <v>0</v>
      </c>
      <c r="BH329" s="38">
        <f>IF(UIoptions!$N$35=2,IF(AND(PCdb[[#This Row],[ROUND_D]]&gt;UIoptions!$S$15,PCdb[[#This Row],[ROUND_D]]&lt;UIoptions!$T$15),1,0),1)</f>
        <v>1</v>
      </c>
      <c r="BI329" s="38">
        <f>IF(UIoptions!$N$75&lt;&gt;1,1,IF(AND(PCdb[[#This Row],[FL]]&gt;UIoptions!$S$16,PCdb[[#This Row],[FL]]&lt;UIoptions!$T$16),1,0))</f>
        <v>0</v>
      </c>
      <c r="BJ329" s="38" t="e">
        <f>IF(OR(UIoptions!$Q$18=PCdb[[#This Row],[THRU_SCREW]],UIoptions!$Q$18="NA"),1,0)</f>
        <v>#N/A</v>
      </c>
      <c r="BK329" s="38">
        <f>IF(OR(UIoptions!$P$19=PCdb[[#This Row],[THREAD_SZ]],UIoptions!$P$19="NA"),1,0)</f>
        <v>1</v>
      </c>
      <c r="BL329" s="38">
        <f>IF(UIoptions!$N$75=1,1,IF(AND(PCdb[[#This Row],[THREAD_L]]&gt;UIoptions!$S$17,PCdb[[#This Row],[THREAD_L]]&lt;UIoptions!$T$17),1,0))</f>
        <v>1</v>
      </c>
      <c r="BM329" s="38" t="e">
        <f>IF(SUM(PCdb[[#This Row],[BDhit]:[THREAD_Lhit]])=11,1,0)</f>
        <v>#N/A</v>
      </c>
      <c r="BN329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56324143075NANANAM610.54</v>
      </c>
      <c r="BO329" s="38" t="e">
        <f>SUM(PCdb[[#This Row],[BDhit]:[THREAD_Lhit]])</f>
        <v>#N/A</v>
      </c>
    </row>
    <row r="330" spans="1:67" x14ac:dyDescent="0.25">
      <c r="A330" s="7">
        <v>337</v>
      </c>
      <c r="B330" s="93">
        <v>63</v>
      </c>
      <c r="C330" s="93">
        <v>40</v>
      </c>
      <c r="D330" s="93">
        <v>4</v>
      </c>
      <c r="E330" s="93">
        <v>11</v>
      </c>
      <c r="F330" s="93">
        <v>23</v>
      </c>
      <c r="G330" s="93">
        <v>58</v>
      </c>
      <c r="H330" s="93" t="s">
        <v>87</v>
      </c>
      <c r="I330" s="93">
        <v>7</v>
      </c>
      <c r="J330" s="93" t="s">
        <v>45</v>
      </c>
      <c r="K330" s="93" t="s">
        <v>87</v>
      </c>
      <c r="L330" s="93" t="s">
        <v>87</v>
      </c>
      <c r="M330" s="93">
        <v>4</v>
      </c>
      <c r="N330" s="38" t="s">
        <v>45</v>
      </c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>
        <f>IF(AND(PCdb[[#This Row],[BCD]]&gt;UIoptions!$S$10,PCdb[[#This Row],[BCD]]&lt;UIoptions!$T$10),1,0)</f>
        <v>0</v>
      </c>
      <c r="BC330" s="38">
        <f>IF(AND(PCdb[[#This Row],[PD]]&gt;UIoptions!$S$11,PCdb[[#This Row],[PD]]&lt;UIoptions!$T$11),1,0)</f>
        <v>0</v>
      </c>
      <c r="BD330" s="38">
        <f>IF(AND(UIoptions!$P$14&lt;=PCdb[[#This Row],[PL (MAX)]],UIoptions!$P$14&gt;UIoptions!$S$14),1,0)</f>
        <v>1</v>
      </c>
      <c r="BE330" s="38">
        <f>IF(AND(PCdb[[#This Row],[SD]]&gt;UIoptions!$S$12,PCdb[[#This Row],[SD]]&lt;UIoptions!$T$12),1,0)</f>
        <v>1</v>
      </c>
      <c r="BF330" s="38">
        <f>IF(AND(PCdb[[#This Row],[SL]]&gt;UIoptions!$S$13,PCdb[[#This Row],[SL]]&lt;UIoptions!$T$13),1,0)</f>
        <v>1</v>
      </c>
      <c r="BG330" s="38">
        <f>IF(UIoptions!$N$35=1,IF(AND(PCdb[[#This Row],[SQ_SZ]]&gt;UIoptions!$S$15,PCdb[[#This Row],[SQ_SZ]]&lt;UIoptions!$T$15),1,0),1)</f>
        <v>0</v>
      </c>
      <c r="BH330" s="38">
        <f>IF(UIoptions!$N$35=2,IF(AND(PCdb[[#This Row],[ROUND_D]]&gt;UIoptions!$S$15,PCdb[[#This Row],[ROUND_D]]&lt;UIoptions!$T$15),1,0),1)</f>
        <v>1</v>
      </c>
      <c r="BI330" s="38">
        <f>IF(UIoptions!$N$75&lt;&gt;1,1,IF(AND(PCdb[[#This Row],[FL]]&gt;UIoptions!$S$16,PCdb[[#This Row],[FL]]&lt;UIoptions!$T$16),1,0))</f>
        <v>0</v>
      </c>
      <c r="BJ330" s="38" t="e">
        <f>IF(OR(UIoptions!$Q$18=PCdb[[#This Row],[THRU_SCREW]],UIoptions!$Q$18="NA"),1,0)</f>
        <v>#N/A</v>
      </c>
      <c r="BK330" s="38">
        <f>IF(OR(UIoptions!$P$19=PCdb[[#This Row],[THREAD_SZ]],UIoptions!$P$19="NA"),1,0)</f>
        <v>1</v>
      </c>
      <c r="BL330" s="38">
        <f>IF(UIoptions!$N$75=1,1,IF(AND(PCdb[[#This Row],[THREAD_L]]&gt;UIoptions!$S$17,PCdb[[#This Row],[THREAD_L]]&lt;UIoptions!$T$17),1,0))</f>
        <v>1</v>
      </c>
      <c r="BM330" s="38" t="e">
        <f>IF(SUM(PCdb[[#This Row],[BDhit]:[THREAD_Lhit]])=11,1,0)</f>
        <v>#N/A</v>
      </c>
      <c r="BN330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63404112358NA7M5NANA4</v>
      </c>
      <c r="BO330" s="38" t="e">
        <f>SUM(PCdb[[#This Row],[BDhit]:[THREAD_Lhit]])</f>
        <v>#N/A</v>
      </c>
    </row>
    <row r="331" spans="1:67" x14ac:dyDescent="0.25">
      <c r="A331" s="7">
        <v>338</v>
      </c>
      <c r="B331" s="93">
        <v>100</v>
      </c>
      <c r="C331" s="93">
        <v>80</v>
      </c>
      <c r="D331" s="93">
        <v>4</v>
      </c>
      <c r="E331" s="93">
        <v>19</v>
      </c>
      <c r="F331" s="93">
        <v>40</v>
      </c>
      <c r="G331" s="93">
        <v>88</v>
      </c>
      <c r="H331" s="93" t="s">
        <v>87</v>
      </c>
      <c r="I331" s="93">
        <v>8</v>
      </c>
      <c r="J331" s="93" t="s">
        <v>49</v>
      </c>
      <c r="K331" s="93" t="s">
        <v>87</v>
      </c>
      <c r="L331" s="93" t="s">
        <v>87</v>
      </c>
      <c r="M331" s="93">
        <v>4</v>
      </c>
      <c r="N331" s="38" t="s">
        <v>49</v>
      </c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>
        <f>IF(AND(PCdb[[#This Row],[BCD]]&gt;UIoptions!$S$10,PCdb[[#This Row],[BCD]]&lt;UIoptions!$T$10),1,0)</f>
        <v>0</v>
      </c>
      <c r="BC331" s="38">
        <f>IF(AND(PCdb[[#This Row],[PD]]&gt;UIoptions!$S$11,PCdb[[#This Row],[PD]]&lt;UIoptions!$T$11),1,0)</f>
        <v>0</v>
      </c>
      <c r="BD331" s="38">
        <f>IF(AND(UIoptions!$P$14&lt;=PCdb[[#This Row],[PL (MAX)]],UIoptions!$P$14&gt;UIoptions!$S$14),1,0)</f>
        <v>1</v>
      </c>
      <c r="BE331" s="38">
        <f>IF(AND(PCdb[[#This Row],[SD]]&gt;UIoptions!$S$12,PCdb[[#This Row],[SD]]&lt;UIoptions!$T$12),1,0)</f>
        <v>0</v>
      </c>
      <c r="BF331" s="38">
        <f>IF(AND(PCdb[[#This Row],[SL]]&gt;UIoptions!$S$13,PCdb[[#This Row],[SL]]&lt;UIoptions!$T$13),1,0)</f>
        <v>0</v>
      </c>
      <c r="BG331" s="38">
        <f>IF(UIoptions!$N$35=1,IF(AND(PCdb[[#This Row],[SQ_SZ]]&gt;UIoptions!$S$15,PCdb[[#This Row],[SQ_SZ]]&lt;UIoptions!$T$15),1,0),1)</f>
        <v>0</v>
      </c>
      <c r="BH331" s="38">
        <f>IF(UIoptions!$N$35=2,IF(AND(PCdb[[#This Row],[ROUND_D]]&gt;UIoptions!$S$15,PCdb[[#This Row],[ROUND_D]]&lt;UIoptions!$T$15),1,0),1)</f>
        <v>1</v>
      </c>
      <c r="BI331" s="38">
        <f>IF(UIoptions!$N$75&lt;&gt;1,1,IF(AND(PCdb[[#This Row],[FL]]&gt;UIoptions!$S$16,PCdb[[#This Row],[FL]]&lt;UIoptions!$T$16),1,0))</f>
        <v>0</v>
      </c>
      <c r="BJ331" s="38" t="e">
        <f>IF(OR(UIoptions!$Q$18=PCdb[[#This Row],[THRU_SCREW]],UIoptions!$Q$18="NA"),1,0)</f>
        <v>#N/A</v>
      </c>
      <c r="BK331" s="38">
        <f>IF(OR(UIoptions!$P$19=PCdb[[#This Row],[THREAD_SZ]],UIoptions!$P$19="NA"),1,0)</f>
        <v>1</v>
      </c>
      <c r="BL331" s="38">
        <f>IF(UIoptions!$N$75=1,1,IF(AND(PCdb[[#This Row],[THREAD_L]]&gt;UIoptions!$S$17,PCdb[[#This Row],[THREAD_L]]&lt;UIoptions!$T$17),1,0))</f>
        <v>1</v>
      </c>
      <c r="BM331" s="38" t="e">
        <f>IF(SUM(PCdb[[#This Row],[BDhit]:[THREAD_Lhit]])=11,1,0)</f>
        <v>#N/A</v>
      </c>
      <c r="BN331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100804194088NA8M6NANA4</v>
      </c>
      <c r="BO331" s="38" t="e">
        <f>SUM(PCdb[[#This Row],[BDhit]:[THREAD_Lhit]])</f>
        <v>#N/A</v>
      </c>
    </row>
    <row r="332" spans="1:67" x14ac:dyDescent="0.25">
      <c r="A332" s="7">
        <v>339</v>
      </c>
      <c r="B332" s="93">
        <v>100</v>
      </c>
      <c r="C332" s="93">
        <v>80</v>
      </c>
      <c r="D332" s="93">
        <v>9.5</v>
      </c>
      <c r="E332" s="93">
        <v>16</v>
      </c>
      <c r="F332" s="93">
        <v>40</v>
      </c>
      <c r="G332" s="93">
        <v>90</v>
      </c>
      <c r="H332" s="93" t="s">
        <v>87</v>
      </c>
      <c r="I332" s="93">
        <v>7.5</v>
      </c>
      <c r="J332" s="93" t="s">
        <v>49</v>
      </c>
      <c r="K332" s="93" t="s">
        <v>87</v>
      </c>
      <c r="L332" s="93" t="s">
        <v>87</v>
      </c>
      <c r="M332" s="93">
        <v>4</v>
      </c>
      <c r="N332" s="38" t="s">
        <v>49</v>
      </c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25">
        <v>48.7</v>
      </c>
      <c r="AD332" s="38" t="s">
        <v>87</v>
      </c>
      <c r="AE332" s="38" t="s">
        <v>87</v>
      </c>
      <c r="AF332" s="38" t="s">
        <v>130</v>
      </c>
      <c r="AG332" s="34" t="s">
        <v>726</v>
      </c>
      <c r="AH332" s="38">
        <v>45</v>
      </c>
      <c r="AI332" s="38">
        <v>90</v>
      </c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>
        <f>IF(AND(PCdb[[#This Row],[BCD]]&gt;UIoptions!$S$10,PCdb[[#This Row],[BCD]]&lt;UIoptions!$T$10),1,0)</f>
        <v>0</v>
      </c>
      <c r="BC332" s="38">
        <f>IF(AND(PCdb[[#This Row],[PD]]&gt;UIoptions!$S$11,PCdb[[#This Row],[PD]]&lt;UIoptions!$T$11),1,0)</f>
        <v>0</v>
      </c>
      <c r="BD332" s="38">
        <f>IF(AND(UIoptions!$P$14&lt;=PCdb[[#This Row],[PL (MAX)]],UIoptions!$P$14&gt;UIoptions!$S$14),1,0)</f>
        <v>1</v>
      </c>
      <c r="BE332" s="38">
        <f>IF(AND(PCdb[[#This Row],[SD]]&gt;UIoptions!$S$12,PCdb[[#This Row],[SD]]&lt;UIoptions!$T$12),1,0)</f>
        <v>0</v>
      </c>
      <c r="BF332" s="38">
        <f>IF(AND(PCdb[[#This Row],[SL]]&gt;UIoptions!$S$13,PCdb[[#This Row],[SL]]&lt;UIoptions!$T$13),1,0)</f>
        <v>0</v>
      </c>
      <c r="BG332" s="38">
        <f>IF(UIoptions!$N$35=1,IF(AND(PCdb[[#This Row],[SQ_SZ]]&gt;UIoptions!$S$15,PCdb[[#This Row],[SQ_SZ]]&lt;UIoptions!$T$15),1,0),1)</f>
        <v>0</v>
      </c>
      <c r="BH332" s="38">
        <f>IF(UIoptions!$N$35=2,IF(AND(PCdb[[#This Row],[ROUND_D]]&gt;UIoptions!$S$15,PCdb[[#This Row],[ROUND_D]]&lt;UIoptions!$T$15),1,0),1)</f>
        <v>1</v>
      </c>
      <c r="BI332" s="38">
        <f>IF(UIoptions!$N$75&lt;&gt;1,1,IF(AND(PCdb[[#This Row],[FL]]&gt;UIoptions!$S$16,PCdb[[#This Row],[FL]]&lt;UIoptions!$T$16),1,0))</f>
        <v>0</v>
      </c>
      <c r="BJ332" s="38" t="e">
        <f>IF(OR(UIoptions!$Q$18=PCdb[[#This Row],[THRU_SCREW]],UIoptions!$Q$18="NA"),1,0)</f>
        <v>#N/A</v>
      </c>
      <c r="BK332" s="38">
        <f>IF(OR(UIoptions!$P$19=PCdb[[#This Row],[THREAD_SZ]],UIoptions!$P$19="NA"),1,0)</f>
        <v>1</v>
      </c>
      <c r="BL332" s="38">
        <f>IF(UIoptions!$N$75=1,1,IF(AND(PCdb[[#This Row],[THREAD_L]]&gt;UIoptions!$S$17,PCdb[[#This Row],[THREAD_L]]&lt;UIoptions!$T$17),1,0))</f>
        <v>1</v>
      </c>
      <c r="BM332" s="38" t="e">
        <f>IF(SUM(PCdb[[#This Row],[BDhit]:[THREAD_Lhit]])=11,1,0)</f>
        <v>#N/A</v>
      </c>
      <c r="BN332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100809.5164090NA7.5M6NANA4</v>
      </c>
      <c r="BO332" s="38" t="e">
        <f>SUM(PCdb[[#This Row],[BDhit]:[THREAD_Lhit]])</f>
        <v>#N/A</v>
      </c>
    </row>
    <row r="333" spans="1:67" x14ac:dyDescent="0.25">
      <c r="A333" s="7">
        <v>340</v>
      </c>
      <c r="B333" s="93">
        <v>66.7</v>
      </c>
      <c r="C333" s="93">
        <v>38.1</v>
      </c>
      <c r="D333" s="93">
        <v>4</v>
      </c>
      <c r="E333" s="93">
        <v>8</v>
      </c>
      <c r="F333" s="93">
        <v>20.6</v>
      </c>
      <c r="G333" s="93">
        <v>56.6</v>
      </c>
      <c r="H333" s="93" t="s">
        <v>87</v>
      </c>
      <c r="I333" s="93">
        <v>6</v>
      </c>
      <c r="J333" s="93" t="s">
        <v>7</v>
      </c>
      <c r="K333" s="93" t="s">
        <v>87</v>
      </c>
      <c r="L333" s="93" t="s">
        <v>87</v>
      </c>
      <c r="M333" s="93">
        <v>4</v>
      </c>
      <c r="N333" s="38" t="s">
        <v>7</v>
      </c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>
        <f>IF(AND(PCdb[[#This Row],[BCD]]&gt;UIoptions!$S$10,PCdb[[#This Row],[BCD]]&lt;UIoptions!$T$10),1,0)</f>
        <v>0</v>
      </c>
      <c r="BC333" s="38">
        <f>IF(AND(PCdb[[#This Row],[PD]]&gt;UIoptions!$S$11,PCdb[[#This Row],[PD]]&lt;UIoptions!$T$11),1,0)</f>
        <v>0</v>
      </c>
      <c r="BD333" s="38">
        <f>IF(AND(UIoptions!$P$14&lt;=PCdb[[#This Row],[PL (MAX)]],UIoptions!$P$14&gt;UIoptions!$S$14),1,0)</f>
        <v>1</v>
      </c>
      <c r="BE333" s="38">
        <f>IF(AND(PCdb[[#This Row],[SD]]&gt;UIoptions!$S$12,PCdb[[#This Row],[SD]]&lt;UIoptions!$T$12),1,0)</f>
        <v>0</v>
      </c>
      <c r="BF333" s="38">
        <f>IF(AND(PCdb[[#This Row],[SL]]&gt;UIoptions!$S$13,PCdb[[#This Row],[SL]]&lt;UIoptions!$T$13),1,0)</f>
        <v>0</v>
      </c>
      <c r="BG333" s="38">
        <f>IF(UIoptions!$N$35=1,IF(AND(PCdb[[#This Row],[SQ_SZ]]&gt;UIoptions!$S$15,PCdb[[#This Row],[SQ_SZ]]&lt;UIoptions!$T$15),1,0),1)</f>
        <v>0</v>
      </c>
      <c r="BH333" s="38">
        <f>IF(UIoptions!$N$35=2,IF(AND(PCdb[[#This Row],[ROUND_D]]&gt;UIoptions!$S$15,PCdb[[#This Row],[ROUND_D]]&lt;UIoptions!$T$15),1,0),1)</f>
        <v>1</v>
      </c>
      <c r="BI333" s="38">
        <f>IF(UIoptions!$N$75&lt;&gt;1,1,IF(AND(PCdb[[#This Row],[FL]]&gt;UIoptions!$S$16,PCdb[[#This Row],[FL]]&lt;UIoptions!$T$16),1,0))</f>
        <v>0</v>
      </c>
      <c r="BJ333" s="38" t="e">
        <f>IF(OR(UIoptions!$Q$18=PCdb[[#This Row],[THRU_SCREW]],UIoptions!$Q$18="NA"),1,0)</f>
        <v>#N/A</v>
      </c>
      <c r="BK333" s="38">
        <f>IF(OR(UIoptions!$P$19=PCdb[[#This Row],[THREAD_SZ]],UIoptions!$P$19="NA"),1,0)</f>
        <v>1</v>
      </c>
      <c r="BL333" s="38">
        <f>IF(UIoptions!$N$75=1,1,IF(AND(PCdb[[#This Row],[THREAD_L]]&gt;UIoptions!$S$17,PCdb[[#This Row],[THREAD_L]]&lt;UIoptions!$T$17),1,0))</f>
        <v>1</v>
      </c>
      <c r="BM333" s="38" t="e">
        <f>IF(SUM(PCdb[[#This Row],[BDhit]:[THREAD_Lhit]])=11,1,0)</f>
        <v>#N/A</v>
      </c>
      <c r="BN333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66.738.14820.656.6NA6M4NANA4</v>
      </c>
      <c r="BO333" s="38" t="e">
        <f>SUM(PCdb[[#This Row],[BDhit]:[THREAD_Lhit]])</f>
        <v>#N/A</v>
      </c>
    </row>
    <row r="334" spans="1:67" x14ac:dyDescent="0.25">
      <c r="A334" s="7">
        <v>341</v>
      </c>
      <c r="B334" s="93">
        <v>72</v>
      </c>
      <c r="C334" s="93">
        <v>60</v>
      </c>
      <c r="D334" s="93">
        <v>4</v>
      </c>
      <c r="E334" s="93">
        <v>11</v>
      </c>
      <c r="F334" s="93">
        <v>23.1</v>
      </c>
      <c r="G334" s="93">
        <v>72</v>
      </c>
      <c r="H334" s="93" t="s">
        <v>87</v>
      </c>
      <c r="I334" s="93">
        <v>13</v>
      </c>
      <c r="J334" s="93" t="s">
        <v>45</v>
      </c>
      <c r="K334" s="93" t="s">
        <v>87</v>
      </c>
      <c r="L334" s="93" t="s">
        <v>87</v>
      </c>
      <c r="M334" s="93">
        <v>4</v>
      </c>
      <c r="N334" s="38" t="s">
        <v>45</v>
      </c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>
        <f>IF(AND(PCdb[[#This Row],[BCD]]&gt;UIoptions!$S$10,PCdb[[#This Row],[BCD]]&lt;UIoptions!$T$10),1,0)</f>
        <v>0</v>
      </c>
      <c r="BC334" s="38">
        <f>IF(AND(PCdb[[#This Row],[PD]]&gt;UIoptions!$S$11,PCdb[[#This Row],[PD]]&lt;UIoptions!$T$11),1,0)</f>
        <v>1</v>
      </c>
      <c r="BD334" s="38">
        <f>IF(AND(UIoptions!$P$14&lt;=PCdb[[#This Row],[PL (MAX)]],UIoptions!$P$14&gt;UIoptions!$S$14),1,0)</f>
        <v>1</v>
      </c>
      <c r="BE334" s="38">
        <f>IF(AND(PCdb[[#This Row],[SD]]&gt;UIoptions!$S$12,PCdb[[#This Row],[SD]]&lt;UIoptions!$T$12),1,0)</f>
        <v>1</v>
      </c>
      <c r="BF334" s="38">
        <f>IF(AND(PCdb[[#This Row],[SL]]&gt;UIoptions!$S$13,PCdb[[#This Row],[SL]]&lt;UIoptions!$T$13),1,0)</f>
        <v>0</v>
      </c>
      <c r="BG334" s="38">
        <f>IF(UIoptions!$N$35=1,IF(AND(PCdb[[#This Row],[SQ_SZ]]&gt;UIoptions!$S$15,PCdb[[#This Row],[SQ_SZ]]&lt;UIoptions!$T$15),1,0),1)</f>
        <v>0</v>
      </c>
      <c r="BH334" s="38">
        <f>IF(UIoptions!$N$35=2,IF(AND(PCdb[[#This Row],[ROUND_D]]&gt;UIoptions!$S$15,PCdb[[#This Row],[ROUND_D]]&lt;UIoptions!$T$15),1,0),1)</f>
        <v>1</v>
      </c>
      <c r="BI334" s="38">
        <f>IF(UIoptions!$N$75&lt;&gt;1,1,IF(AND(PCdb[[#This Row],[FL]]&gt;UIoptions!$S$16,PCdb[[#This Row],[FL]]&lt;UIoptions!$T$16),1,0))</f>
        <v>0</v>
      </c>
      <c r="BJ334" s="38" t="e">
        <f>IF(OR(UIoptions!$Q$18=PCdb[[#This Row],[THRU_SCREW]],UIoptions!$Q$18="NA"),1,0)</f>
        <v>#N/A</v>
      </c>
      <c r="BK334" s="38">
        <f>IF(OR(UIoptions!$P$19=PCdb[[#This Row],[THREAD_SZ]],UIoptions!$P$19="NA"),1,0)</f>
        <v>1</v>
      </c>
      <c r="BL334" s="38">
        <f>IF(UIoptions!$N$75=1,1,IF(AND(PCdb[[#This Row],[THREAD_L]]&gt;UIoptions!$S$17,PCdb[[#This Row],[THREAD_L]]&lt;UIoptions!$T$17),1,0))</f>
        <v>1</v>
      </c>
      <c r="BM334" s="38" t="e">
        <f>IF(SUM(PCdb[[#This Row],[BDhit]:[THREAD_Lhit]])=11,1,0)</f>
        <v>#N/A</v>
      </c>
      <c r="BN334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726041123.172NA13M5NANA4</v>
      </c>
      <c r="BO334" s="38" t="e">
        <f>SUM(PCdb[[#This Row],[BDhit]:[THREAD_Lhit]])</f>
        <v>#N/A</v>
      </c>
    </row>
    <row r="335" spans="1:67" x14ac:dyDescent="0.25">
      <c r="A335" s="7">
        <v>342</v>
      </c>
      <c r="B335" s="93">
        <v>90</v>
      </c>
      <c r="C335" s="93">
        <v>70</v>
      </c>
      <c r="D335" s="93">
        <v>4</v>
      </c>
      <c r="E335" s="93">
        <v>19</v>
      </c>
      <c r="F335" s="93">
        <v>35</v>
      </c>
      <c r="G335" s="93">
        <v>80</v>
      </c>
      <c r="H335" s="93" t="s">
        <v>87</v>
      </c>
      <c r="I335" s="93">
        <v>8</v>
      </c>
      <c r="J335" s="93" t="s">
        <v>45</v>
      </c>
      <c r="K335" s="93" t="s">
        <v>87</v>
      </c>
      <c r="L335" s="93" t="s">
        <v>87</v>
      </c>
      <c r="M335" s="93">
        <v>4</v>
      </c>
      <c r="N335" s="38" t="s">
        <v>45</v>
      </c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>
        <f>IF(AND(PCdb[[#This Row],[BCD]]&gt;UIoptions!$S$10,PCdb[[#This Row],[BCD]]&lt;UIoptions!$T$10),1,0)</f>
        <v>0</v>
      </c>
      <c r="BC335" s="38">
        <f>IF(AND(PCdb[[#This Row],[PD]]&gt;UIoptions!$S$11,PCdb[[#This Row],[PD]]&lt;UIoptions!$T$11),1,0)</f>
        <v>0</v>
      </c>
      <c r="BD335" s="38">
        <f>IF(AND(UIoptions!$P$14&lt;=PCdb[[#This Row],[PL (MAX)]],UIoptions!$P$14&gt;UIoptions!$S$14),1,0)</f>
        <v>1</v>
      </c>
      <c r="BE335" s="38">
        <f>IF(AND(PCdb[[#This Row],[SD]]&gt;UIoptions!$S$12,PCdb[[#This Row],[SD]]&lt;UIoptions!$T$12),1,0)</f>
        <v>0</v>
      </c>
      <c r="BF335" s="38">
        <f>IF(AND(PCdb[[#This Row],[SL]]&gt;UIoptions!$S$13,PCdb[[#This Row],[SL]]&lt;UIoptions!$T$13),1,0)</f>
        <v>0</v>
      </c>
      <c r="BG335" s="38">
        <f>IF(UIoptions!$N$35=1,IF(AND(PCdb[[#This Row],[SQ_SZ]]&gt;UIoptions!$S$15,PCdb[[#This Row],[SQ_SZ]]&lt;UIoptions!$T$15),1,0),1)</f>
        <v>0</v>
      </c>
      <c r="BH335" s="38">
        <f>IF(UIoptions!$N$35=2,IF(AND(PCdb[[#This Row],[ROUND_D]]&gt;UIoptions!$S$15,PCdb[[#This Row],[ROUND_D]]&lt;UIoptions!$T$15),1,0),1)</f>
        <v>1</v>
      </c>
      <c r="BI335" s="38">
        <f>IF(UIoptions!$N$75&lt;&gt;1,1,IF(AND(PCdb[[#This Row],[FL]]&gt;UIoptions!$S$16,PCdb[[#This Row],[FL]]&lt;UIoptions!$T$16),1,0))</f>
        <v>0</v>
      </c>
      <c r="BJ335" s="38" t="e">
        <f>IF(OR(UIoptions!$Q$18=PCdb[[#This Row],[THRU_SCREW]],UIoptions!$Q$18="NA"),1,0)</f>
        <v>#N/A</v>
      </c>
      <c r="BK335" s="38">
        <f>IF(OR(UIoptions!$P$19=PCdb[[#This Row],[THREAD_SZ]],UIoptions!$P$19="NA"),1,0)</f>
        <v>1</v>
      </c>
      <c r="BL335" s="38">
        <f>IF(UIoptions!$N$75=1,1,IF(AND(PCdb[[#This Row],[THREAD_L]]&gt;UIoptions!$S$17,PCdb[[#This Row],[THREAD_L]]&lt;UIoptions!$T$17),1,0))</f>
        <v>1</v>
      </c>
      <c r="BM335" s="38" t="e">
        <f>IF(SUM(PCdb[[#This Row],[BDhit]:[THREAD_Lhit]])=11,1,0)</f>
        <v>#N/A</v>
      </c>
      <c r="BN335" s="38" t="str">
        <f>CONCATENATE(PCdb[[#This Row],[BCD]],PCdb[[#This Row],[PD]],PCdb[[#This Row],[PL (MAX)]],PCdb[[#This Row],[SD]],PCdb[[#This Row],[SL]],PCdb[[#This Row],[SQ_SZ]],PCdb[[#This Row],[ROUND_D]],PCdb[[#This Row],[FL]],PCdb[[#This Row],[THRU_SCREW]],PCdb[[#This Row],[THREAD_SZ]],PCdb[[#This Row],[THREAD_L]],PCdb[[#This Row],[NBR_HOLES]])</f>
        <v>90704193580NA8M5NANA4</v>
      </c>
      <c r="BO335" s="38" t="e">
        <f>SUM(PCdb[[#This Row],[BDhit]:[THREAD_Lhit]])</f>
        <v>#N/A</v>
      </c>
    </row>
  </sheetData>
  <mergeCells count="8">
    <mergeCell ref="AV1:AY1"/>
    <mergeCell ref="BB1:BO1"/>
    <mergeCell ref="A1:M1"/>
    <mergeCell ref="AJ1:AM1"/>
    <mergeCell ref="O1:U1"/>
    <mergeCell ref="V1:AB1"/>
    <mergeCell ref="AC1:AI1"/>
    <mergeCell ref="AP1:AU1"/>
  </mergeCells>
  <pageMargins left="0.25" right="0.25" top="0.75" bottom="0.75" header="0.3" footer="0.3"/>
  <pageSetup paperSize="8" scale="33" orientation="landscape" r:id="rId1"/>
  <customProperties>
    <customPr name="workbookAdvencedSettings" r:id="rId2"/>
    <customPr name="workbookExecutionSettings" r:id="rId3"/>
    <customPr name="workbookGatewaySettings" r:id="rId4"/>
  </customProperties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X126"/>
  <sheetViews>
    <sheetView zoomScaleNormal="100" workbookViewId="0">
      <selection activeCell="C3" sqref="C3"/>
    </sheetView>
  </sheetViews>
  <sheetFormatPr defaultRowHeight="15" x14ac:dyDescent="0.25"/>
  <cols>
    <col min="1" max="1" width="13.85546875" customWidth="1"/>
    <col min="2" max="2" width="12.85546875" bestFit="1" customWidth="1"/>
    <col min="4" max="4" width="7.7109375" customWidth="1"/>
    <col min="5" max="5" width="6" bestFit="1" customWidth="1"/>
    <col min="7" max="7" width="10" bestFit="1" customWidth="1"/>
    <col min="8" max="8" width="11" bestFit="1" customWidth="1"/>
    <col min="9" max="9" width="13.28515625" bestFit="1" customWidth="1"/>
    <col min="10" max="10" width="11" bestFit="1" customWidth="1"/>
    <col min="11" max="11" width="9.85546875" bestFit="1" customWidth="1"/>
    <col min="12" max="12" width="11.28515625" bestFit="1" customWidth="1"/>
    <col min="17" max="17" width="10.42578125" bestFit="1" customWidth="1"/>
  </cols>
  <sheetData>
    <row r="1" spans="1:13" ht="171.75" customHeight="1" x14ac:dyDescent="0.25"/>
    <row r="2" spans="1:13" ht="30" x14ac:dyDescent="0.25">
      <c r="A2" s="9" t="s">
        <v>115</v>
      </c>
      <c r="B2" t="s">
        <v>36</v>
      </c>
      <c r="C2" s="33">
        <f>UIoptions!P10</f>
        <v>75</v>
      </c>
    </row>
    <row r="3" spans="1:13" x14ac:dyDescent="0.25">
      <c r="A3" s="9" t="s">
        <v>116</v>
      </c>
      <c r="B3" t="s">
        <v>18</v>
      </c>
      <c r="C3" s="33">
        <f>UIoptions!P11</f>
        <v>60</v>
      </c>
      <c r="I3" s="93" t="s">
        <v>570</v>
      </c>
      <c r="J3" s="159">
        <v>342</v>
      </c>
    </row>
    <row r="4" spans="1:13" x14ac:dyDescent="0.25">
      <c r="A4" s="9" t="s">
        <v>60</v>
      </c>
      <c r="B4" t="s">
        <v>51</v>
      </c>
      <c r="C4" s="33">
        <f>UIoptions!P14</f>
        <v>2.5</v>
      </c>
      <c r="D4" t="str">
        <f>IF(C4="","",IF(C4&gt;4,"Too long! Max 4 mm!!","OK"))</f>
        <v>OK</v>
      </c>
    </row>
    <row r="5" spans="1:13" ht="30" x14ac:dyDescent="0.25">
      <c r="A5" s="9" t="s">
        <v>117</v>
      </c>
      <c r="B5" t="s">
        <v>42</v>
      </c>
      <c r="C5" s="33">
        <f>UIoptions!P12</f>
        <v>11</v>
      </c>
    </row>
    <row r="6" spans="1:13" x14ac:dyDescent="0.25">
      <c r="A6" s="9" t="s">
        <v>61</v>
      </c>
      <c r="B6" t="s">
        <v>43</v>
      </c>
      <c r="C6" s="33">
        <f>UIoptions!P13</f>
        <v>23</v>
      </c>
    </row>
    <row r="7" spans="1:13" x14ac:dyDescent="0.25">
      <c r="A7" s="9" t="s">
        <v>62</v>
      </c>
      <c r="B7" t="s">
        <v>63</v>
      </c>
      <c r="C7" s="33">
        <f>IF(UIoptions!N35=1,UIoptions!P15,"NA")</f>
        <v>70</v>
      </c>
    </row>
    <row r="8" spans="1:13" ht="30" x14ac:dyDescent="0.25">
      <c r="A8" s="9" t="s">
        <v>65</v>
      </c>
      <c r="B8" t="s">
        <v>64</v>
      </c>
      <c r="C8" s="33" t="str">
        <f>IF(UIoptions!N35=2,UIoptions!P15,"NA")</f>
        <v>NA</v>
      </c>
    </row>
    <row r="9" spans="1:13" x14ac:dyDescent="0.25">
      <c r="A9" s="9" t="s">
        <v>67</v>
      </c>
      <c r="B9" t="s">
        <v>66</v>
      </c>
      <c r="C9" s="33">
        <f>IF(UIoptions!N75=1,UIoptions!P16,"NA")</f>
        <v>0</v>
      </c>
    </row>
    <row r="10" spans="1:13" ht="30" x14ac:dyDescent="0.25">
      <c r="A10" s="9" t="s">
        <v>114</v>
      </c>
      <c r="C10" s="33">
        <f>IF(UIoptions!N75=1,UIoptions!P18,"NA")</f>
        <v>0</v>
      </c>
      <c r="D10" s="33" t="e">
        <f>IF(C10="NA","NA",UIoptions!Q18)</f>
        <v>#N/A</v>
      </c>
    </row>
    <row r="11" spans="1:13" x14ac:dyDescent="0.25">
      <c r="A11" s="9" t="s">
        <v>72</v>
      </c>
      <c r="B11" t="s">
        <v>70</v>
      </c>
      <c r="C11" s="33" t="str">
        <f>IF(UIoptions!N75&lt;&gt;1,INDEX(UIoptions!M37:N60,MATCH(UIoptions!N75,UIoptions!N37:N52,0),1),"NA")</f>
        <v>NA</v>
      </c>
      <c r="D11" s="33" t="e">
        <f>IF(UIoptions!N75=1,INDEX(Criteria!A111:E153,MATCH(C11,Criteria!A111:A153,0),4),INDEX(Criteria!A111:G153,MATCH(C11,Criteria!A111:A153,0),5))</f>
        <v>#N/A</v>
      </c>
    </row>
    <row r="12" spans="1:13" x14ac:dyDescent="0.25">
      <c r="A12" s="9" t="s">
        <v>73</v>
      </c>
      <c r="B12" t="s">
        <v>71</v>
      </c>
      <c r="C12" s="33" t="str">
        <f>IF(UIoptions!N75&lt;&gt;1,UIoptions!P17,"NA")</f>
        <v>NA</v>
      </c>
    </row>
    <row r="13" spans="1:13" x14ac:dyDescent="0.25">
      <c r="A13" s="9" t="s">
        <v>69</v>
      </c>
      <c r="B13" t="s">
        <v>74</v>
      </c>
      <c r="C13" s="10">
        <v>4</v>
      </c>
    </row>
    <row r="15" spans="1:13" ht="37.700000000000003" customHeight="1" x14ac:dyDescent="0.3">
      <c r="A15" s="162" t="s">
        <v>578</v>
      </c>
    </row>
    <row r="16" spans="1:13" ht="15.75" thickBot="1" x14ac:dyDescent="0.3">
      <c r="A16" s="8" t="s">
        <v>36</v>
      </c>
      <c r="B16" s="8" t="s">
        <v>18</v>
      </c>
      <c r="C16" s="8" t="s">
        <v>51</v>
      </c>
      <c r="D16" s="8" t="s">
        <v>42</v>
      </c>
      <c r="E16" s="8" t="s">
        <v>43</v>
      </c>
      <c r="F16" s="8" t="s">
        <v>63</v>
      </c>
      <c r="G16" s="8" t="s">
        <v>64</v>
      </c>
      <c r="H16" s="8" t="s">
        <v>66</v>
      </c>
      <c r="I16" s="8" t="s">
        <v>68</v>
      </c>
      <c r="J16" s="8" t="s">
        <v>70</v>
      </c>
      <c r="K16" s="8" t="s">
        <v>71</v>
      </c>
      <c r="L16" s="8" t="s">
        <v>74</v>
      </c>
      <c r="M16" s="165" t="s">
        <v>44</v>
      </c>
    </row>
    <row r="17" spans="1:19" ht="15.75" thickTop="1" x14ac:dyDescent="0.25">
      <c r="A17" s="93">
        <f>C2</f>
        <v>75</v>
      </c>
      <c r="B17" s="93">
        <f>C3</f>
        <v>60</v>
      </c>
      <c r="C17" s="12">
        <v>4</v>
      </c>
      <c r="D17" s="12">
        <f>C5</f>
        <v>11</v>
      </c>
      <c r="E17" s="12">
        <f>C6</f>
        <v>23</v>
      </c>
      <c r="F17" s="12">
        <f>IF(C7="","NA",C7)</f>
        <v>70</v>
      </c>
      <c r="G17" s="12" t="str">
        <f>IF(C8="","NA",C8)</f>
        <v>NA</v>
      </c>
      <c r="H17" s="12">
        <f>C9</f>
        <v>0</v>
      </c>
      <c r="I17" s="12" t="e">
        <f>IF(C10="","NA",D10)</f>
        <v>#N/A</v>
      </c>
      <c r="J17" s="12" t="str">
        <f>IF(C11="","NA",C11)</f>
        <v>NA</v>
      </c>
      <c r="K17" s="12" t="str">
        <f>IF(C12="","NA",C12)</f>
        <v>NA</v>
      </c>
      <c r="L17" s="12">
        <f>C13</f>
        <v>4</v>
      </c>
      <c r="M17" s="12" t="e">
        <f>IF(UIoptions!N75=1,NewID!D10,D11)</f>
        <v>#N/A</v>
      </c>
    </row>
    <row r="19" spans="1:19" s="16" customFormat="1" ht="26.25" customHeight="1" x14ac:dyDescent="0.25"/>
    <row r="20" spans="1:19" x14ac:dyDescent="0.25">
      <c r="A20" s="163" t="s">
        <v>579</v>
      </c>
    </row>
    <row r="21" spans="1:19" ht="15.75" thickBot="1" x14ac:dyDescent="0.3">
      <c r="A21" s="8" t="s">
        <v>36</v>
      </c>
      <c r="B21" s="8" t="s">
        <v>18</v>
      </c>
      <c r="C21" s="8" t="s">
        <v>165</v>
      </c>
      <c r="D21" s="8" t="s">
        <v>42</v>
      </c>
      <c r="E21" s="8" t="s">
        <v>43</v>
      </c>
      <c r="F21" s="8" t="s">
        <v>63</v>
      </c>
      <c r="G21" s="8" t="s">
        <v>64</v>
      </c>
      <c r="H21" s="8" t="s">
        <v>66</v>
      </c>
      <c r="I21" s="8" t="s">
        <v>191</v>
      </c>
      <c r="J21" s="8" t="s">
        <v>70</v>
      </c>
      <c r="K21" s="8" t="s">
        <v>71</v>
      </c>
      <c r="L21" s="8" t="s">
        <v>74</v>
      </c>
      <c r="M21" s="16"/>
    </row>
    <row r="22" spans="1:19" ht="15.75" thickTop="1" x14ac:dyDescent="0.25">
      <c r="A22">
        <f>ROUND(UIoptions!M10,3)</f>
        <v>75</v>
      </c>
      <c r="B22" s="89">
        <f>ROUNDUP(UIoptions!M11,3)</f>
        <v>60</v>
      </c>
      <c r="C22">
        <v>4</v>
      </c>
      <c r="D22" s="95">
        <f>UIoptions!M12</f>
        <v>11</v>
      </c>
      <c r="E22" s="65">
        <f>ROUND(UIoptions!M13,1)</f>
        <v>23</v>
      </c>
      <c r="F22">
        <f>ROUND(IF(UIoptions!N35=1,UIoptions!M15,"NA"),1)</f>
        <v>70</v>
      </c>
      <c r="G22" t="str">
        <f>IF(UIoptions!N35=2,UIoptions!M15,"NA")</f>
        <v>NA</v>
      </c>
      <c r="H22">
        <f>ROUND(IF(UIoptions!N75=1,UIoptions!M16,"NA"),2)</f>
        <v>0</v>
      </c>
      <c r="I22" s="65">
        <f>ROUND(IF(UIoptions!N75=1,UIoptions!M18,"NA"),2)</f>
        <v>0</v>
      </c>
      <c r="J22" s="16" t="str">
        <f>IF(UIoptions!N75&lt;&gt;1,INDEX(UIoptions!M38:M74,MATCH(UIoptions!N75,UIoptions!N38:N74,0)),"NA")</f>
        <v>NA</v>
      </c>
      <c r="K22" t="str">
        <f>IF(UIoptions!N75&lt;&gt;1,UIoptions!M21,"NA")</f>
        <v>NA</v>
      </c>
      <c r="L22">
        <f>C13</f>
        <v>4</v>
      </c>
    </row>
    <row r="24" spans="1:19" x14ac:dyDescent="0.25">
      <c r="A24" t="s">
        <v>75</v>
      </c>
      <c r="B24" t="s">
        <v>76</v>
      </c>
    </row>
    <row r="25" spans="1:19" x14ac:dyDescent="0.25">
      <c r="A25" t="s">
        <v>77</v>
      </c>
      <c r="B25" t="s">
        <v>78</v>
      </c>
    </row>
    <row r="26" spans="1:19" x14ac:dyDescent="0.25">
      <c r="A26" t="s">
        <v>79</v>
      </c>
      <c r="B26" t="s">
        <v>80</v>
      </c>
    </row>
    <row r="27" spans="1:19" x14ac:dyDescent="0.25">
      <c r="A27" t="s">
        <v>84</v>
      </c>
      <c r="B27" t="s">
        <v>81</v>
      </c>
      <c r="Q27" s="153" t="s">
        <v>571</v>
      </c>
      <c r="R27" s="22"/>
      <c r="S27" s="23"/>
    </row>
    <row r="28" spans="1:19" x14ac:dyDescent="0.25">
      <c r="A28" t="s">
        <v>85</v>
      </c>
      <c r="B28" t="s">
        <v>82</v>
      </c>
      <c r="Q28" s="17" t="s">
        <v>291</v>
      </c>
      <c r="R28" s="25">
        <f>INDEX(PCdb[BCD],MATCH($J$3,PCdb[RMID],0))</f>
        <v>90</v>
      </c>
      <c r="S28" s="18"/>
    </row>
    <row r="29" spans="1:19" x14ac:dyDescent="0.25">
      <c r="A29" t="s">
        <v>86</v>
      </c>
      <c r="B29" t="s">
        <v>83</v>
      </c>
      <c r="Q29" s="17" t="s">
        <v>18</v>
      </c>
      <c r="R29" s="25">
        <f>INDEX(PCdb[PD],MATCH($J$3,PCdb[RMID],0))</f>
        <v>70</v>
      </c>
      <c r="S29" s="18"/>
    </row>
    <row r="30" spans="1:19" x14ac:dyDescent="0.25">
      <c r="Q30" s="17" t="s">
        <v>42</v>
      </c>
      <c r="R30" s="25">
        <f>INDEX(PCdb[SD],MATCH($J$3,PCdb[RMID],0))</f>
        <v>19</v>
      </c>
      <c r="S30" s="18"/>
    </row>
    <row r="31" spans="1:19" x14ac:dyDescent="0.25">
      <c r="C31" t="s">
        <v>6</v>
      </c>
      <c r="H31" t="s">
        <v>32</v>
      </c>
      <c r="L31" t="s">
        <v>33</v>
      </c>
      <c r="Q31" s="17" t="s">
        <v>43</v>
      </c>
      <c r="R31" s="25">
        <f>INDEX(PCdb[SL],MATCH($J$3,PCdb[RMID],0))</f>
        <v>35</v>
      </c>
      <c r="S31" s="18"/>
    </row>
    <row r="32" spans="1:19" x14ac:dyDescent="0.25">
      <c r="Q32" s="17" t="s">
        <v>165</v>
      </c>
      <c r="R32" s="25">
        <f>INDEX(PCdb[PL (MAX)],MATCH($J$3,PCdb[RMID],0))</f>
        <v>4</v>
      </c>
      <c r="S32" s="18"/>
    </row>
    <row r="33" spans="17:19" x14ac:dyDescent="0.25">
      <c r="Q33" s="21" t="s">
        <v>210</v>
      </c>
      <c r="R33" s="22">
        <f>INDEX(PCdb[SQ_SZ],MATCH($J$3,PCdb[RMID],0))</f>
        <v>80</v>
      </c>
      <c r="S33" s="23"/>
    </row>
    <row r="34" spans="17:19" x14ac:dyDescent="0.25">
      <c r="Q34" s="134" t="s">
        <v>139</v>
      </c>
      <c r="R34" s="24" t="str">
        <f>INDEX(PCdb[ROUND_D],MATCH($J$3,PCdb[RMID],0))</f>
        <v>NA</v>
      </c>
      <c r="S34" s="161">
        <f>IF(R34="NA",R33,R34)</f>
        <v>80</v>
      </c>
    </row>
    <row r="35" spans="17:19" x14ac:dyDescent="0.25">
      <c r="Q35" s="17" t="s">
        <v>157</v>
      </c>
      <c r="R35" s="25"/>
      <c r="S35" s="18"/>
    </row>
    <row r="36" spans="17:19" x14ac:dyDescent="0.25">
      <c r="Q36" s="17" t="s">
        <v>572</v>
      </c>
      <c r="R36" s="25" t="str">
        <f>INDEX(PCdb[THRU_SCREW],MATCH($J$3,PCdb[RMID],0))</f>
        <v>M5</v>
      </c>
      <c r="S36" s="18">
        <f>IF(R36="NA","",VLOOKUP(NewID!R36,Criteria!A111:E153,5,FALSE))</f>
        <v>6</v>
      </c>
    </row>
    <row r="37" spans="17:19" x14ac:dyDescent="0.25">
      <c r="Q37" s="17" t="s">
        <v>573</v>
      </c>
      <c r="R37" s="25">
        <f>INDEX(PCdb[FL],MATCH($J$3,PCdb[RMID],0))</f>
        <v>8</v>
      </c>
      <c r="S37" s="18">
        <f>IF(R37="NA","",R37)</f>
        <v>8</v>
      </c>
    </row>
    <row r="38" spans="17:19" x14ac:dyDescent="0.25">
      <c r="Q38" s="17" t="s">
        <v>574</v>
      </c>
      <c r="R38" s="25"/>
      <c r="S38" s="18"/>
    </row>
    <row r="39" spans="17:19" x14ac:dyDescent="0.25">
      <c r="Q39" s="17" t="s">
        <v>17</v>
      </c>
      <c r="R39" s="25" t="str">
        <f>INDEX(PCdb[THREAD_SZ],MATCH($J$3,PCdb[RMID],0))</f>
        <v>NA</v>
      </c>
      <c r="S39" s="18">
        <f>IF(R39="NA",1,MATCH(R39,UIoptions!M37:M74,0))</f>
        <v>1</v>
      </c>
    </row>
    <row r="40" spans="17:19" x14ac:dyDescent="0.25">
      <c r="Q40" s="19" t="s">
        <v>575</v>
      </c>
      <c r="R40" s="24" t="str">
        <f>INDEX(PCdb[THREAD_L],MATCH($J$3,PCdb[RMID],0))</f>
        <v>NA</v>
      </c>
      <c r="S40" s="20" t="str">
        <f>IF(R40="NA","",R40)</f>
        <v/>
      </c>
    </row>
    <row r="51" spans="16:24" x14ac:dyDescent="0.25">
      <c r="P51" t="s">
        <v>119</v>
      </c>
    </row>
    <row r="52" spans="16:24" x14ac:dyDescent="0.25">
      <c r="P52" s="11" t="s">
        <v>118</v>
      </c>
      <c r="Q52" s="11"/>
      <c r="R52" s="11"/>
      <c r="S52" s="11"/>
      <c r="T52" s="11"/>
      <c r="U52" s="11"/>
      <c r="V52" s="11"/>
      <c r="W52" s="11"/>
      <c r="X52" s="11"/>
    </row>
    <row r="53" spans="16:24" x14ac:dyDescent="0.25">
      <c r="P53" s="11" t="s">
        <v>120</v>
      </c>
      <c r="Q53" s="11"/>
      <c r="R53" s="11"/>
      <c r="S53" s="11"/>
      <c r="T53" s="11"/>
      <c r="U53" s="11"/>
      <c r="V53" s="11"/>
      <c r="W53" s="11"/>
      <c r="X53" s="11"/>
    </row>
    <row r="54" spans="16:24" x14ac:dyDescent="0.25">
      <c r="P54" s="11" t="s">
        <v>121</v>
      </c>
      <c r="Q54" s="11"/>
      <c r="R54" s="11"/>
      <c r="S54" s="11"/>
      <c r="T54" s="11"/>
      <c r="U54" s="11"/>
      <c r="V54" s="11"/>
      <c r="W54" s="11"/>
      <c r="X54" s="11"/>
    </row>
    <row r="55" spans="16:24" x14ac:dyDescent="0.25">
      <c r="P55" s="11" t="s">
        <v>122</v>
      </c>
      <c r="Q55" s="11"/>
      <c r="R55" s="11"/>
      <c r="S55" s="11"/>
      <c r="T55" s="11"/>
      <c r="U55" s="11"/>
      <c r="V55" s="11"/>
      <c r="W55" s="11"/>
      <c r="X55" s="11"/>
    </row>
    <row r="56" spans="16:24" x14ac:dyDescent="0.25">
      <c r="P56" s="11"/>
      <c r="Q56" s="11"/>
      <c r="R56" s="11"/>
      <c r="S56" s="11"/>
      <c r="T56" s="11"/>
      <c r="U56" s="11"/>
      <c r="V56" s="11"/>
      <c r="W56" s="11"/>
      <c r="X56" s="11"/>
    </row>
    <row r="57" spans="16:24" x14ac:dyDescent="0.25">
      <c r="P57" s="11"/>
      <c r="Q57" s="11"/>
      <c r="R57" s="11"/>
      <c r="S57" s="11"/>
      <c r="T57" s="11"/>
      <c r="U57" s="11"/>
      <c r="V57" s="11"/>
      <c r="W57" s="11"/>
      <c r="X57" s="11"/>
    </row>
    <row r="58" spans="16:24" x14ac:dyDescent="0.25">
      <c r="P58" s="11"/>
      <c r="Q58" s="11"/>
      <c r="R58" s="11"/>
      <c r="S58" s="11"/>
      <c r="T58" s="11"/>
      <c r="U58" s="11"/>
      <c r="V58" s="11"/>
      <c r="W58" s="11"/>
      <c r="X58" s="11"/>
    </row>
    <row r="59" spans="16:24" x14ac:dyDescent="0.25">
      <c r="P59" s="11"/>
      <c r="Q59" s="11"/>
      <c r="R59" s="11"/>
      <c r="S59" s="11"/>
      <c r="T59" s="11"/>
      <c r="U59" s="11"/>
      <c r="V59" s="11"/>
      <c r="W59" s="11"/>
      <c r="X59" s="11"/>
    </row>
    <row r="66" spans="1:1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S70" t="s">
        <v>124</v>
      </c>
    </row>
    <row r="71" spans="1:1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S71" t="s">
        <v>123</v>
      </c>
    </row>
    <row r="72" spans="1:1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9" spans="1:17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7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7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7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 t="s">
        <v>125</v>
      </c>
    </row>
    <row r="103" spans="1:17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t="s">
        <v>126</v>
      </c>
    </row>
    <row r="104" spans="1:17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7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7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7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7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7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7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7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7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</sheetData>
  <pageMargins left="0.7" right="0.7" top="0.75" bottom="0.75" header="0.3" footer="0.3"/>
  <customProperties>
    <customPr name="workbookAdvencedSettings" r:id="rId1"/>
    <customPr name="workbookExecutionSettings" r:id="rId2"/>
    <customPr name="workbookGatewaySetting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22" r:id="rId6" name="Load ID">
              <controlPr defaultSize="0" print="0" autoFill="0" autoPict="0" macro="[0]!LoadID">
                <anchor moveWithCells="1" sizeWithCells="1">
                  <from>
                    <xdr:col>10</xdr:col>
                    <xdr:colOff>47625</xdr:colOff>
                    <xdr:row>2</xdr:row>
                    <xdr:rowOff>28575</xdr:rowOff>
                  </from>
                  <to>
                    <xdr:col>11</xdr:col>
                    <xdr:colOff>76200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AB150"/>
  <sheetViews>
    <sheetView zoomScale="115" zoomScaleNormal="115" workbookViewId="0">
      <selection activeCell="C3" sqref="C3"/>
    </sheetView>
  </sheetViews>
  <sheetFormatPr defaultRowHeight="15" x14ac:dyDescent="0.25"/>
  <cols>
    <col min="1" max="1" width="23.42578125" bestFit="1" customWidth="1"/>
    <col min="2" max="2" width="27" bestFit="1" customWidth="1"/>
    <col min="3" max="3" width="9.140625" style="16"/>
    <col min="10" max="10" width="12.140625" customWidth="1"/>
    <col min="11" max="11" width="6.140625" customWidth="1"/>
    <col min="12" max="12" width="15.85546875" customWidth="1"/>
    <col min="13" max="13" width="13.140625" customWidth="1"/>
    <col min="14" max="14" width="12" customWidth="1"/>
    <col min="15" max="15" width="13.42578125" customWidth="1"/>
    <col min="16" max="16" width="115.28515625" bestFit="1" customWidth="1"/>
    <col min="17" max="17" width="49.7109375" bestFit="1" customWidth="1"/>
  </cols>
  <sheetData>
    <row r="1" spans="1:17" ht="15.75" thickBot="1" x14ac:dyDescent="0.3">
      <c r="A1" t="s">
        <v>189</v>
      </c>
      <c r="B1" t="s">
        <v>190</v>
      </c>
      <c r="C1" s="16" t="s">
        <v>41</v>
      </c>
      <c r="D1" s="8" t="s">
        <v>291</v>
      </c>
      <c r="E1" s="8" t="s">
        <v>18</v>
      </c>
      <c r="F1" s="8" t="s">
        <v>165</v>
      </c>
      <c r="G1" s="8" t="s">
        <v>42</v>
      </c>
      <c r="H1" s="8" t="s">
        <v>43</v>
      </c>
      <c r="I1" s="8" t="s">
        <v>63</v>
      </c>
      <c r="J1" s="8" t="s">
        <v>64</v>
      </c>
      <c r="K1" s="8" t="s">
        <v>66</v>
      </c>
      <c r="L1" s="8" t="s">
        <v>191</v>
      </c>
      <c r="M1" s="8" t="s">
        <v>70</v>
      </c>
      <c r="N1" s="8" t="s">
        <v>71</v>
      </c>
      <c r="O1" s="8" t="s">
        <v>74</v>
      </c>
      <c r="P1" s="39" t="s">
        <v>193</v>
      </c>
      <c r="Q1" t="s">
        <v>205</v>
      </c>
    </row>
    <row r="2" spans="1:17" ht="15.75" thickTop="1" x14ac:dyDescent="0.25">
      <c r="A2" t="s">
        <v>297</v>
      </c>
      <c r="B2" t="s">
        <v>298</v>
      </c>
      <c r="D2">
        <v>66.665999999999997</v>
      </c>
      <c r="E2">
        <v>38.1</v>
      </c>
      <c r="F2">
        <v>1.6</v>
      </c>
      <c r="G2">
        <v>6.35</v>
      </c>
      <c r="H2">
        <v>20</v>
      </c>
      <c r="I2">
        <v>56.4</v>
      </c>
      <c r="J2" t="s">
        <v>87</v>
      </c>
      <c r="K2">
        <v>5</v>
      </c>
      <c r="L2">
        <v>5.2</v>
      </c>
      <c r="M2" t="s">
        <v>87</v>
      </c>
      <c r="N2" t="s">
        <v>87</v>
      </c>
      <c r="O2">
        <v>4</v>
      </c>
      <c r="P2" t="s">
        <v>299</v>
      </c>
      <c r="Q2" t="str">
        <f>CONCATENATE(TableMotorCrossRef[[#This Row],[Manufacturer]],TableMotorCrossRef[[#This Row],[Model]])</f>
        <v>Applied MotionHT23-401</v>
      </c>
    </row>
    <row r="3" spans="1:17" x14ac:dyDescent="0.25">
      <c r="A3" t="s">
        <v>297</v>
      </c>
      <c r="B3" t="s">
        <v>300</v>
      </c>
      <c r="D3">
        <v>98.429000000000002</v>
      </c>
      <c r="E3" s="65">
        <v>73</v>
      </c>
      <c r="F3">
        <v>2</v>
      </c>
      <c r="G3">
        <v>12.7</v>
      </c>
      <c r="H3">
        <v>37</v>
      </c>
      <c r="I3">
        <v>85.8</v>
      </c>
      <c r="J3" t="s">
        <v>87</v>
      </c>
      <c r="K3">
        <v>10</v>
      </c>
      <c r="L3">
        <v>6.6</v>
      </c>
      <c r="M3" s="16" t="s">
        <v>87</v>
      </c>
      <c r="N3" s="16" t="s">
        <v>87</v>
      </c>
      <c r="O3">
        <v>4</v>
      </c>
      <c r="P3" t="s">
        <v>301</v>
      </c>
      <c r="Q3" t="str">
        <f>CONCATENATE(TableMotorCrossRef[[#This Row],[Manufacturer]],TableMotorCrossRef[[#This Row],[Model]])</f>
        <v>Applied MotionHT34-478</v>
      </c>
    </row>
    <row r="4" spans="1:17" x14ac:dyDescent="0.25">
      <c r="A4" s="16" t="s">
        <v>192</v>
      </c>
      <c r="B4" s="16" t="s">
        <v>264</v>
      </c>
      <c r="C4" s="16">
        <v>10</v>
      </c>
      <c r="D4">
        <v>70</v>
      </c>
      <c r="E4">
        <v>50</v>
      </c>
      <c r="F4">
        <v>3</v>
      </c>
      <c r="G4">
        <v>14</v>
      </c>
      <c r="H4">
        <v>30</v>
      </c>
      <c r="I4">
        <v>60</v>
      </c>
      <c r="J4" t="s">
        <v>87</v>
      </c>
      <c r="K4">
        <v>7.5</v>
      </c>
      <c r="L4">
        <v>5.5</v>
      </c>
      <c r="M4" s="16" t="s">
        <v>87</v>
      </c>
      <c r="N4" s="16" t="s">
        <v>87</v>
      </c>
      <c r="O4">
        <v>4</v>
      </c>
      <c r="P4" t="s">
        <v>194</v>
      </c>
      <c r="Q4" t="str">
        <f>CONCATENATE(TableMotorCrossRef[[#This Row],[Manufacturer]],TableMotorCrossRef[[#This Row],[Model]])</f>
        <v>DeltaECMA-Cx0602xx</v>
      </c>
    </row>
    <row r="5" spans="1:17" x14ac:dyDescent="0.25">
      <c r="A5" s="16" t="s">
        <v>302</v>
      </c>
      <c r="B5" s="16" t="s">
        <v>303</v>
      </c>
      <c r="D5">
        <v>66.7</v>
      </c>
      <c r="E5">
        <v>38.1</v>
      </c>
      <c r="F5">
        <v>2.5</v>
      </c>
      <c r="G5">
        <v>9.5</v>
      </c>
      <c r="H5">
        <v>30.7</v>
      </c>
      <c r="I5">
        <v>57.7</v>
      </c>
      <c r="J5" t="s">
        <v>87</v>
      </c>
      <c r="K5">
        <v>7.5</v>
      </c>
      <c r="L5">
        <v>5.2</v>
      </c>
      <c r="M5" s="16" t="s">
        <v>87</v>
      </c>
      <c r="N5" s="16" t="s">
        <v>87</v>
      </c>
      <c r="O5">
        <v>4</v>
      </c>
      <c r="P5" t="s">
        <v>304</v>
      </c>
      <c r="Q5" t="str">
        <f>CONCATENATE(TableMotorCrossRef[[#This Row],[Manufacturer]],TableMotorCrossRef[[#This Row],[Model]])</f>
        <v>EmersonNTE-207</v>
      </c>
    </row>
    <row r="6" spans="1:17" x14ac:dyDescent="0.25">
      <c r="A6" s="16" t="s">
        <v>302</v>
      </c>
      <c r="B6" s="16" t="s">
        <v>305</v>
      </c>
      <c r="D6">
        <v>66.7</v>
      </c>
      <c r="E6">
        <v>38.1</v>
      </c>
      <c r="F6">
        <v>2.5</v>
      </c>
      <c r="G6">
        <v>9.5</v>
      </c>
      <c r="H6">
        <v>30.7</v>
      </c>
      <c r="I6">
        <v>57.7</v>
      </c>
      <c r="J6" s="16" t="s">
        <v>87</v>
      </c>
      <c r="K6">
        <v>7.5</v>
      </c>
      <c r="L6">
        <v>5.2</v>
      </c>
      <c r="M6" s="16" t="s">
        <v>87</v>
      </c>
      <c r="N6" s="16" t="s">
        <v>87</v>
      </c>
      <c r="O6" s="16">
        <v>4</v>
      </c>
      <c r="P6" t="s">
        <v>304</v>
      </c>
      <c r="Q6" t="str">
        <f>CONCATENATE(TableMotorCrossRef[[#This Row],[Manufacturer]],TableMotorCrossRef[[#This Row],[Model]])</f>
        <v>EmersonNTE-212</v>
      </c>
    </row>
    <row r="7" spans="1:17" x14ac:dyDescent="0.25">
      <c r="A7" s="16" t="s">
        <v>302</v>
      </c>
      <c r="B7" t="s">
        <v>306</v>
      </c>
      <c r="D7">
        <v>75</v>
      </c>
      <c r="E7">
        <v>60</v>
      </c>
      <c r="F7" s="16">
        <v>2.5</v>
      </c>
      <c r="G7">
        <v>11</v>
      </c>
      <c r="H7">
        <v>23.5</v>
      </c>
      <c r="I7">
        <v>65.2</v>
      </c>
      <c r="J7" s="16" t="s">
        <v>87</v>
      </c>
      <c r="K7">
        <v>7.5</v>
      </c>
      <c r="L7">
        <v>5.8</v>
      </c>
      <c r="M7" s="16" t="s">
        <v>87</v>
      </c>
      <c r="N7" s="16" t="s">
        <v>87</v>
      </c>
      <c r="O7" s="16">
        <v>4</v>
      </c>
      <c r="P7" t="s">
        <v>304</v>
      </c>
      <c r="Q7" t="str">
        <f>CONCATENATE(TableMotorCrossRef[[#This Row],[Manufacturer]],TableMotorCrossRef[[#This Row],[Model]])</f>
        <v>EmersonNTM-207</v>
      </c>
    </row>
    <row r="8" spans="1:17" x14ac:dyDescent="0.25">
      <c r="A8" s="16" t="s">
        <v>302</v>
      </c>
      <c r="B8" t="s">
        <v>307</v>
      </c>
      <c r="D8">
        <v>75</v>
      </c>
      <c r="E8">
        <v>60</v>
      </c>
      <c r="F8" s="16">
        <v>2.5</v>
      </c>
      <c r="G8">
        <v>11</v>
      </c>
      <c r="H8">
        <v>23.5</v>
      </c>
      <c r="I8">
        <v>65.2</v>
      </c>
      <c r="J8" s="16" t="s">
        <v>87</v>
      </c>
      <c r="K8">
        <v>7.5</v>
      </c>
      <c r="L8">
        <v>5.8</v>
      </c>
      <c r="M8" s="16" t="s">
        <v>87</v>
      </c>
      <c r="N8" s="16" t="s">
        <v>87</v>
      </c>
      <c r="O8" s="16">
        <v>4</v>
      </c>
      <c r="P8" t="s">
        <v>304</v>
      </c>
      <c r="Q8" t="str">
        <f>CONCATENATE(TableMotorCrossRef[[#This Row],[Manufacturer]],TableMotorCrossRef[[#This Row],[Model]])</f>
        <v>EmersonNTM-212</v>
      </c>
    </row>
    <row r="9" spans="1:17" x14ac:dyDescent="0.25">
      <c r="A9" s="16" t="s">
        <v>308</v>
      </c>
      <c r="B9" s="16" t="s">
        <v>313</v>
      </c>
      <c r="D9">
        <v>66.674999999999997</v>
      </c>
      <c r="E9">
        <v>38.150999999999996</v>
      </c>
      <c r="F9" s="16">
        <v>3</v>
      </c>
      <c r="G9">
        <v>6.35</v>
      </c>
      <c r="H9">
        <v>20</v>
      </c>
      <c r="I9">
        <v>57.7</v>
      </c>
      <c r="J9" s="16" t="s">
        <v>87</v>
      </c>
      <c r="K9">
        <v>6</v>
      </c>
      <c r="L9">
        <v>5</v>
      </c>
      <c r="M9" s="16" t="s">
        <v>87</v>
      </c>
      <c r="N9" s="16" t="s">
        <v>87</v>
      </c>
      <c r="O9" s="16">
        <v>4</v>
      </c>
      <c r="P9" t="s">
        <v>314</v>
      </c>
      <c r="Q9" t="str">
        <f>CONCATENATE(TableMotorCrossRef[[#This Row],[Manufacturer]],TableMotorCrossRef[[#This Row],[Model]])</f>
        <v>FanucSLM003</v>
      </c>
    </row>
    <row r="10" spans="1:17" x14ac:dyDescent="0.25">
      <c r="A10" s="16" t="s">
        <v>308</v>
      </c>
      <c r="B10" s="16" t="s">
        <v>315</v>
      </c>
      <c r="D10" s="16">
        <v>66.674999999999997</v>
      </c>
      <c r="E10">
        <v>38.150999999999996</v>
      </c>
      <c r="F10" s="16">
        <v>3</v>
      </c>
      <c r="G10">
        <v>6.35</v>
      </c>
      <c r="H10">
        <v>20</v>
      </c>
      <c r="I10">
        <v>57.7</v>
      </c>
      <c r="J10" s="16" t="s">
        <v>87</v>
      </c>
      <c r="K10">
        <v>6</v>
      </c>
      <c r="L10">
        <v>5</v>
      </c>
      <c r="M10" s="16" t="s">
        <v>87</v>
      </c>
      <c r="N10" s="16" t="s">
        <v>87</v>
      </c>
      <c r="O10" s="16">
        <v>4</v>
      </c>
      <c r="P10" t="s">
        <v>314</v>
      </c>
      <c r="Q10" t="str">
        <f>CONCATENATE(TableMotorCrossRef[[#This Row],[Manufacturer]],TableMotorCrossRef[[#This Row],[Model]])</f>
        <v>FanucSLM005</v>
      </c>
    </row>
    <row r="11" spans="1:17" x14ac:dyDescent="0.25">
      <c r="A11" s="16" t="s">
        <v>308</v>
      </c>
      <c r="B11" t="s">
        <v>316</v>
      </c>
      <c r="D11">
        <v>66.674999999999997</v>
      </c>
      <c r="E11">
        <v>38.150999999999996</v>
      </c>
      <c r="F11">
        <v>3</v>
      </c>
      <c r="G11">
        <v>6.35</v>
      </c>
      <c r="H11">
        <v>20</v>
      </c>
      <c r="I11">
        <v>57.7</v>
      </c>
      <c r="J11" t="s">
        <v>87</v>
      </c>
      <c r="K11">
        <v>6</v>
      </c>
      <c r="L11">
        <v>5</v>
      </c>
      <c r="M11" s="16" t="s">
        <v>87</v>
      </c>
      <c r="N11" s="16" t="s">
        <v>87</v>
      </c>
      <c r="O11" s="16">
        <v>4</v>
      </c>
      <c r="P11" t="s">
        <v>314</v>
      </c>
      <c r="Q11" t="str">
        <f>CONCATENATE(TableMotorCrossRef[[#This Row],[Manufacturer]],TableMotorCrossRef[[#This Row],[Model]])</f>
        <v>FanucSLM010</v>
      </c>
    </row>
    <row r="12" spans="1:17" x14ac:dyDescent="0.25">
      <c r="A12" s="16" t="s">
        <v>308</v>
      </c>
      <c r="B12" t="s">
        <v>317</v>
      </c>
      <c r="D12">
        <v>98.424999999999997</v>
      </c>
      <c r="E12">
        <v>73.076000000000008</v>
      </c>
      <c r="F12">
        <v>3</v>
      </c>
      <c r="G12">
        <v>9.5250000000000004</v>
      </c>
      <c r="H12">
        <v>30</v>
      </c>
      <c r="I12">
        <v>86.9</v>
      </c>
      <c r="J12" t="s">
        <v>87</v>
      </c>
      <c r="K12">
        <v>8</v>
      </c>
      <c r="L12">
        <v>5.5</v>
      </c>
      <c r="M12" s="16" t="s">
        <v>87</v>
      </c>
      <c r="N12" s="16" t="s">
        <v>87</v>
      </c>
      <c r="O12" s="16">
        <v>4</v>
      </c>
      <c r="P12" t="s">
        <v>314</v>
      </c>
      <c r="Q12" t="str">
        <f>CONCATENATE(TableMotorCrossRef[[#This Row],[Manufacturer]],TableMotorCrossRef[[#This Row],[Model]])</f>
        <v>FanucSLM020</v>
      </c>
    </row>
    <row r="13" spans="1:17" x14ac:dyDescent="0.25">
      <c r="A13" s="16" t="s">
        <v>308</v>
      </c>
      <c r="B13" t="s">
        <v>318</v>
      </c>
      <c r="D13">
        <v>98.424999999999997</v>
      </c>
      <c r="E13">
        <v>73.076000000000008</v>
      </c>
      <c r="F13">
        <v>3</v>
      </c>
      <c r="G13">
        <v>9.5250000000000004</v>
      </c>
      <c r="H13">
        <v>30</v>
      </c>
      <c r="I13">
        <v>86.9</v>
      </c>
      <c r="J13" t="s">
        <v>87</v>
      </c>
      <c r="K13">
        <v>8</v>
      </c>
      <c r="L13">
        <v>5.5</v>
      </c>
      <c r="M13" s="16" t="s">
        <v>87</v>
      </c>
      <c r="N13" s="16" t="s">
        <v>87</v>
      </c>
      <c r="O13" s="16">
        <v>4</v>
      </c>
      <c r="P13" t="s">
        <v>314</v>
      </c>
      <c r="Q13" t="str">
        <f>CONCATENATE(TableMotorCrossRef[[#This Row],[Manufacturer]],TableMotorCrossRef[[#This Row],[Model]])</f>
        <v>FanucSLM040</v>
      </c>
    </row>
    <row r="14" spans="1:17" x14ac:dyDescent="0.25">
      <c r="A14" s="16" t="s">
        <v>308</v>
      </c>
      <c r="B14" t="s">
        <v>319</v>
      </c>
      <c r="D14">
        <v>98.424999999999997</v>
      </c>
      <c r="E14" s="16">
        <v>73.076000000000008</v>
      </c>
      <c r="F14">
        <v>3</v>
      </c>
      <c r="G14">
        <v>15.875</v>
      </c>
      <c r="H14">
        <v>30</v>
      </c>
      <c r="I14">
        <v>86.9</v>
      </c>
      <c r="J14" s="16" t="s">
        <v>87</v>
      </c>
      <c r="K14">
        <v>8</v>
      </c>
      <c r="L14">
        <v>5.5</v>
      </c>
      <c r="M14" s="16" t="s">
        <v>87</v>
      </c>
      <c r="N14" s="16" t="s">
        <v>87</v>
      </c>
      <c r="O14" s="16">
        <v>4</v>
      </c>
      <c r="P14" t="s">
        <v>314</v>
      </c>
      <c r="Q14" s="16" t="str">
        <f>CONCATENATE(TableMotorCrossRef[[#This Row],[Manufacturer]],TableMotorCrossRef[[#This Row],[Model]])</f>
        <v>FanucSLM075</v>
      </c>
    </row>
    <row r="15" spans="1:17" x14ac:dyDescent="0.25">
      <c r="A15" s="16" t="s">
        <v>308</v>
      </c>
      <c r="B15" s="94" t="s">
        <v>309</v>
      </c>
      <c r="D15">
        <v>100</v>
      </c>
      <c r="E15">
        <v>80</v>
      </c>
      <c r="F15">
        <v>3</v>
      </c>
      <c r="G15">
        <v>14</v>
      </c>
      <c r="H15">
        <v>30</v>
      </c>
      <c r="I15">
        <v>92</v>
      </c>
      <c r="J15" s="16" t="s">
        <v>87</v>
      </c>
      <c r="K15">
        <v>7.5</v>
      </c>
      <c r="L15">
        <v>7</v>
      </c>
      <c r="M15" s="16" t="s">
        <v>87</v>
      </c>
      <c r="N15" s="16" t="s">
        <v>87</v>
      </c>
      <c r="O15" s="16">
        <v>4</v>
      </c>
      <c r="P15" t="s">
        <v>310</v>
      </c>
      <c r="Q15" t="str">
        <f>CONCATENATE(TableMotorCrossRef[[#This Row],[Manufacturer]],TableMotorCrossRef[[#This Row],[Model]])</f>
        <v>Fanucαi I 0.5</v>
      </c>
    </row>
    <row r="16" spans="1:17" x14ac:dyDescent="0.25">
      <c r="A16" s="16" t="s">
        <v>308</v>
      </c>
      <c r="B16" s="94" t="s">
        <v>311</v>
      </c>
      <c r="D16">
        <v>70</v>
      </c>
      <c r="E16">
        <v>50</v>
      </c>
      <c r="F16">
        <v>3</v>
      </c>
      <c r="G16">
        <v>9</v>
      </c>
      <c r="H16">
        <v>25</v>
      </c>
      <c r="I16">
        <v>60</v>
      </c>
      <c r="J16" s="16" t="s">
        <v>87</v>
      </c>
      <c r="K16">
        <v>6</v>
      </c>
      <c r="L16">
        <v>5.5</v>
      </c>
      <c r="M16" s="16" t="s">
        <v>87</v>
      </c>
      <c r="N16" s="16" t="s">
        <v>87</v>
      </c>
      <c r="O16" s="16">
        <v>4</v>
      </c>
      <c r="P16" t="s">
        <v>312</v>
      </c>
      <c r="Q16" t="str">
        <f>CONCATENATE(TableMotorCrossRef[[#This Row],[Manufacturer]],TableMotorCrossRef[[#This Row],[Model]])</f>
        <v>Fanucβ0.5/3000</v>
      </c>
    </row>
    <row r="17" spans="1:17" x14ac:dyDescent="0.25">
      <c r="A17" s="16" t="s">
        <v>206</v>
      </c>
      <c r="B17" t="s">
        <v>265</v>
      </c>
      <c r="D17">
        <v>46</v>
      </c>
      <c r="E17">
        <v>30</v>
      </c>
      <c r="F17">
        <v>2.5</v>
      </c>
      <c r="G17">
        <v>8</v>
      </c>
      <c r="H17">
        <v>25</v>
      </c>
      <c r="I17">
        <v>40</v>
      </c>
      <c r="J17" s="16" t="s">
        <v>87</v>
      </c>
      <c r="K17">
        <v>4</v>
      </c>
      <c r="L17">
        <v>4.3</v>
      </c>
      <c r="M17" s="16" t="s">
        <v>87</v>
      </c>
      <c r="N17" s="16" t="s">
        <v>87</v>
      </c>
      <c r="O17" s="16">
        <v>4</v>
      </c>
      <c r="Q17" t="str">
        <f>CONCATENATE(TableMotorCrossRef[[#This Row],[Manufacturer]],TableMotorCrossRef[[#This Row],[Model]])</f>
        <v>KollmorgenAKM1xx-Axxxx-00</v>
      </c>
    </row>
    <row r="18" spans="1:17" x14ac:dyDescent="0.25">
      <c r="A18" t="s">
        <v>206</v>
      </c>
      <c r="B18" s="82" t="s">
        <v>218</v>
      </c>
      <c r="D18">
        <v>46.69</v>
      </c>
      <c r="E18">
        <v>20.02</v>
      </c>
      <c r="F18">
        <v>2.5</v>
      </c>
      <c r="G18">
        <v>6.35</v>
      </c>
      <c r="H18">
        <v>25</v>
      </c>
      <c r="I18">
        <v>40</v>
      </c>
      <c r="J18" t="s">
        <v>87</v>
      </c>
      <c r="K18">
        <v>4</v>
      </c>
      <c r="L18">
        <v>3.56</v>
      </c>
      <c r="M18" t="s">
        <v>87</v>
      </c>
      <c r="N18" t="s">
        <v>87</v>
      </c>
      <c r="O18">
        <v>4</v>
      </c>
      <c r="P18" s="83"/>
      <c r="Q18" s="92" t="str">
        <f>CONCATENATE(TableMotorCrossRef[[#This Row],[Manufacturer]],TableMotorCrossRef[[#This Row],[Model]])</f>
        <v>KollmorgenAKM1xx-Bxxxx-00</v>
      </c>
    </row>
    <row r="19" spans="1:17" x14ac:dyDescent="0.25">
      <c r="A19" s="85" t="s">
        <v>206</v>
      </c>
      <c r="B19" s="86" t="s">
        <v>219</v>
      </c>
      <c r="D19">
        <v>45</v>
      </c>
      <c r="E19" s="92">
        <v>30</v>
      </c>
      <c r="F19">
        <v>2.5</v>
      </c>
      <c r="G19">
        <v>8</v>
      </c>
      <c r="H19">
        <v>25</v>
      </c>
      <c r="I19">
        <v>40</v>
      </c>
      <c r="J19" t="s">
        <v>87</v>
      </c>
      <c r="K19">
        <v>4</v>
      </c>
      <c r="L19">
        <v>3.4</v>
      </c>
      <c r="M19" t="s">
        <v>87</v>
      </c>
      <c r="N19" t="s">
        <v>87</v>
      </c>
      <c r="O19">
        <v>4</v>
      </c>
      <c r="P19" s="87"/>
      <c r="Q19" s="92" t="str">
        <f>CONCATENATE(TableMotorCrossRef[[#This Row],[Manufacturer]],TableMotorCrossRef[[#This Row],[Model]])</f>
        <v>KollmorgenAKM1xx-Cxxxx-00</v>
      </c>
    </row>
    <row r="20" spans="1:17" x14ac:dyDescent="0.25">
      <c r="A20" t="s">
        <v>206</v>
      </c>
      <c r="B20" s="91" t="s">
        <v>721</v>
      </c>
      <c r="C20" s="16">
        <v>337</v>
      </c>
      <c r="D20">
        <v>63</v>
      </c>
      <c r="E20">
        <v>40</v>
      </c>
      <c r="F20">
        <v>2.5</v>
      </c>
      <c r="G20">
        <v>11</v>
      </c>
      <c r="H20">
        <v>23</v>
      </c>
      <c r="I20">
        <v>58</v>
      </c>
      <c r="J20" t="s">
        <v>87</v>
      </c>
      <c r="K20">
        <v>7</v>
      </c>
      <c r="L20">
        <v>5.5</v>
      </c>
      <c r="M20" t="s">
        <v>87</v>
      </c>
      <c r="N20" t="s">
        <v>87</v>
      </c>
      <c r="O20">
        <v>4</v>
      </c>
      <c r="P20" s="92" t="s">
        <v>724</v>
      </c>
      <c r="Q20" s="96" t="str">
        <f>CONCATENATE(TableMotorCrossRef[[#This Row],[Manufacturer]],TableMotorCrossRef[[#This Row],[Model]])</f>
        <v>KollmorgenAKM2G-2x</v>
      </c>
    </row>
    <row r="21" spans="1:17" x14ac:dyDescent="0.25">
      <c r="A21" s="92" t="s">
        <v>206</v>
      </c>
      <c r="B21" s="92" t="s">
        <v>722</v>
      </c>
      <c r="C21" s="92">
        <v>26</v>
      </c>
      <c r="D21" s="92">
        <v>75</v>
      </c>
      <c r="E21" s="92">
        <v>60</v>
      </c>
      <c r="F21" s="92">
        <v>2.5</v>
      </c>
      <c r="G21" s="92">
        <v>14</v>
      </c>
      <c r="H21" s="92">
        <v>30</v>
      </c>
      <c r="I21" s="92">
        <v>72</v>
      </c>
      <c r="J21" s="92" t="s">
        <v>87</v>
      </c>
      <c r="K21" s="92">
        <v>7</v>
      </c>
      <c r="L21" s="92">
        <v>5.5</v>
      </c>
      <c r="M21" s="92" t="s">
        <v>87</v>
      </c>
      <c r="N21" s="92" t="s">
        <v>87</v>
      </c>
      <c r="O21" s="92">
        <v>4</v>
      </c>
      <c r="P21" s="92" t="s">
        <v>724</v>
      </c>
      <c r="Q21" s="96" t="str">
        <f>CONCATENATE(TableMotorCrossRef[[#This Row],[Manufacturer]],TableMotorCrossRef[[#This Row],[Model]])</f>
        <v>KollmorgenAKM2G-3x</v>
      </c>
    </row>
    <row r="22" spans="1:17" x14ac:dyDescent="0.25">
      <c r="A22" t="s">
        <v>206</v>
      </c>
      <c r="B22" t="s">
        <v>723</v>
      </c>
      <c r="C22" s="16">
        <v>338</v>
      </c>
      <c r="D22">
        <v>100</v>
      </c>
      <c r="E22">
        <v>80</v>
      </c>
      <c r="F22">
        <v>3</v>
      </c>
      <c r="G22">
        <v>19</v>
      </c>
      <c r="H22">
        <v>40</v>
      </c>
      <c r="I22">
        <v>88</v>
      </c>
      <c r="J22" t="s">
        <v>87</v>
      </c>
      <c r="K22">
        <v>8</v>
      </c>
      <c r="L22">
        <v>6.6</v>
      </c>
      <c r="M22" t="s">
        <v>87</v>
      </c>
      <c r="N22" t="s">
        <v>87</v>
      </c>
      <c r="O22">
        <v>4</v>
      </c>
      <c r="P22" s="92" t="s">
        <v>724</v>
      </c>
      <c r="Q22" s="96" t="str">
        <f>CONCATENATE(TableMotorCrossRef[[#This Row],[Manufacturer]],TableMotorCrossRef[[#This Row],[Model]])</f>
        <v>KollmorgenAKM2G-4x</v>
      </c>
    </row>
    <row r="23" spans="1:17" x14ac:dyDescent="0.25">
      <c r="A23" t="s">
        <v>206</v>
      </c>
      <c r="B23" t="s">
        <v>213</v>
      </c>
      <c r="D23">
        <v>63</v>
      </c>
      <c r="E23">
        <v>40</v>
      </c>
      <c r="F23">
        <v>2.5</v>
      </c>
      <c r="G23">
        <v>9</v>
      </c>
      <c r="H23">
        <v>20</v>
      </c>
      <c r="I23">
        <v>58</v>
      </c>
      <c r="J23" t="s">
        <v>87</v>
      </c>
      <c r="K23">
        <v>7</v>
      </c>
      <c r="L23">
        <v>4.8</v>
      </c>
      <c r="M23" t="s">
        <v>87</v>
      </c>
      <c r="N23" t="s">
        <v>87</v>
      </c>
      <c r="O23">
        <v>4</v>
      </c>
      <c r="Q23" t="str">
        <f>CONCATENATE(TableMotorCrossRef[[#This Row],[Manufacturer]],TableMotorCrossRef[[#This Row],[Model]])</f>
        <v>KollmorgenAKM2xx-Axxxx-00</v>
      </c>
    </row>
    <row r="24" spans="1:17" x14ac:dyDescent="0.25">
      <c r="A24" t="s">
        <v>206</v>
      </c>
      <c r="B24" s="92" t="s">
        <v>215</v>
      </c>
      <c r="D24">
        <v>66.680000000000007</v>
      </c>
      <c r="E24" s="16">
        <v>38.1</v>
      </c>
      <c r="F24">
        <v>2.5</v>
      </c>
      <c r="G24">
        <v>9.5250000000000004</v>
      </c>
      <c r="H24">
        <v>31.75</v>
      </c>
      <c r="I24">
        <v>58</v>
      </c>
      <c r="J24" t="s">
        <v>87</v>
      </c>
      <c r="K24">
        <v>7</v>
      </c>
      <c r="L24">
        <v>5.0999999999999996</v>
      </c>
      <c r="M24" t="s">
        <v>87</v>
      </c>
      <c r="N24" t="s">
        <v>87</v>
      </c>
      <c r="O24">
        <v>4</v>
      </c>
      <c r="Q24" t="str">
        <f>CONCATENATE(TableMotorCrossRef[[#This Row],[Manufacturer]],TableMotorCrossRef[[#This Row],[Model]])</f>
        <v>KollmorgenAKM2xx-Bxxxx-00</v>
      </c>
    </row>
    <row r="25" spans="1:17" x14ac:dyDescent="0.25">
      <c r="A25" t="s">
        <v>206</v>
      </c>
      <c r="B25" s="92" t="s">
        <v>214</v>
      </c>
      <c r="D25">
        <v>70</v>
      </c>
      <c r="E25">
        <v>50</v>
      </c>
      <c r="F25">
        <v>2.5</v>
      </c>
      <c r="G25">
        <v>14</v>
      </c>
      <c r="H25">
        <v>30</v>
      </c>
      <c r="I25">
        <v>58</v>
      </c>
      <c r="J25" t="s">
        <v>87</v>
      </c>
      <c r="K25">
        <v>7</v>
      </c>
      <c r="L25">
        <v>5.8</v>
      </c>
      <c r="M25" t="s">
        <v>87</v>
      </c>
      <c r="N25" t="s">
        <v>87</v>
      </c>
      <c r="O25">
        <v>4</v>
      </c>
      <c r="Q25" t="str">
        <f>CONCATENATE(TableMotorCrossRef[[#This Row],[Manufacturer]],TableMotorCrossRef[[#This Row],[Model]])</f>
        <v>KollmorgenAKM2xx-Cxxxx-00</v>
      </c>
    </row>
    <row r="26" spans="1:17" x14ac:dyDescent="0.25">
      <c r="A26" t="s">
        <v>206</v>
      </c>
      <c r="B26" t="s">
        <v>216</v>
      </c>
      <c r="D26">
        <v>65</v>
      </c>
      <c r="E26">
        <v>40</v>
      </c>
      <c r="F26">
        <v>2.5</v>
      </c>
      <c r="G26">
        <v>9</v>
      </c>
      <c r="H26">
        <v>20</v>
      </c>
      <c r="I26">
        <v>58</v>
      </c>
      <c r="J26" t="s">
        <v>87</v>
      </c>
      <c r="K26">
        <v>7</v>
      </c>
      <c r="L26">
        <v>5.8</v>
      </c>
      <c r="M26" t="s">
        <v>87</v>
      </c>
      <c r="N26" t="s">
        <v>87</v>
      </c>
      <c r="O26">
        <v>4</v>
      </c>
      <c r="Q26" t="str">
        <f>CONCATENATE(TableMotorCrossRef[[#This Row],[Manufacturer]],TableMotorCrossRef[[#This Row],[Model]])</f>
        <v>KollmorgenAKM2xx-Dxxxx-00</v>
      </c>
    </row>
    <row r="27" spans="1:17" x14ac:dyDescent="0.25">
      <c r="A27" s="92" t="s">
        <v>206</v>
      </c>
      <c r="B27" t="s">
        <v>217</v>
      </c>
      <c r="D27">
        <v>66.680000000000007</v>
      </c>
      <c r="E27">
        <v>38.1</v>
      </c>
      <c r="F27">
        <v>2.5</v>
      </c>
      <c r="G27">
        <v>9.5250000000000004</v>
      </c>
      <c r="H27">
        <v>20.6</v>
      </c>
      <c r="I27">
        <v>58</v>
      </c>
      <c r="J27" t="s">
        <v>87</v>
      </c>
      <c r="K27">
        <v>7</v>
      </c>
      <c r="L27">
        <v>5.0999999999999996</v>
      </c>
      <c r="M27" t="s">
        <v>87</v>
      </c>
      <c r="N27" t="s">
        <v>87</v>
      </c>
      <c r="O27">
        <v>4</v>
      </c>
      <c r="P27" s="92"/>
      <c r="Q27" t="str">
        <f>CONCATENATE(TableMotorCrossRef[[#This Row],[Manufacturer]],TableMotorCrossRef[[#This Row],[Model]])</f>
        <v>KollmorgenAKM2xx-Exxxx-00</v>
      </c>
    </row>
    <row r="28" spans="1:17" x14ac:dyDescent="0.25">
      <c r="A28" s="92" t="s">
        <v>206</v>
      </c>
      <c r="B28" t="s">
        <v>207</v>
      </c>
      <c r="D28" s="92">
        <v>75</v>
      </c>
      <c r="E28" s="92">
        <v>60</v>
      </c>
      <c r="F28" s="92">
        <v>2.5</v>
      </c>
      <c r="G28" s="92">
        <v>14</v>
      </c>
      <c r="H28" s="92">
        <v>30</v>
      </c>
      <c r="I28" s="92">
        <v>70</v>
      </c>
      <c r="J28" s="92" t="s">
        <v>87</v>
      </c>
      <c r="K28" s="92">
        <v>6.9</v>
      </c>
      <c r="L28" s="92">
        <v>5.8</v>
      </c>
      <c r="M28" s="92" t="s">
        <v>87</v>
      </c>
      <c r="N28" s="92" t="s">
        <v>87</v>
      </c>
      <c r="O28" s="92">
        <v>4</v>
      </c>
      <c r="P28" s="92"/>
      <c r="Q28" t="str">
        <f>CONCATENATE(TableMotorCrossRef[[#This Row],[Manufacturer]],TableMotorCrossRef[[#This Row],[Model]])</f>
        <v>KollmorgenAKM3xx-Axxxx-00</v>
      </c>
    </row>
    <row r="29" spans="1:17" x14ac:dyDescent="0.25">
      <c r="A29" t="s">
        <v>206</v>
      </c>
      <c r="B29" t="s">
        <v>208</v>
      </c>
      <c r="D29">
        <v>85</v>
      </c>
      <c r="E29">
        <v>60</v>
      </c>
      <c r="F29">
        <v>2.5</v>
      </c>
      <c r="G29">
        <v>14</v>
      </c>
      <c r="H29">
        <v>30</v>
      </c>
      <c r="I29">
        <v>70</v>
      </c>
      <c r="J29" t="s">
        <v>87</v>
      </c>
      <c r="K29">
        <v>6.9</v>
      </c>
      <c r="L29">
        <v>5.8</v>
      </c>
      <c r="M29" t="s">
        <v>87</v>
      </c>
      <c r="N29" t="s">
        <v>87</v>
      </c>
      <c r="O29">
        <v>4</v>
      </c>
      <c r="P29" s="92"/>
      <c r="Q29" t="str">
        <f>CONCATENATE(TableMotorCrossRef[[#This Row],[Manufacturer]],TableMotorCrossRef[[#This Row],[Model]])</f>
        <v>KollmorgenAKM3xx-Cxxxx-00</v>
      </c>
    </row>
    <row r="30" spans="1:17" x14ac:dyDescent="0.25">
      <c r="A30" t="s">
        <v>206</v>
      </c>
      <c r="B30" t="s">
        <v>209</v>
      </c>
      <c r="D30">
        <v>75</v>
      </c>
      <c r="E30">
        <v>60</v>
      </c>
      <c r="F30">
        <v>2.5</v>
      </c>
      <c r="G30">
        <v>11</v>
      </c>
      <c r="H30">
        <v>23</v>
      </c>
      <c r="I30">
        <v>70</v>
      </c>
      <c r="J30" t="s">
        <v>87</v>
      </c>
      <c r="K30">
        <v>6.9</v>
      </c>
      <c r="L30">
        <v>5.8</v>
      </c>
      <c r="M30" t="s">
        <v>87</v>
      </c>
      <c r="N30" t="s">
        <v>87</v>
      </c>
      <c r="O30">
        <v>4</v>
      </c>
      <c r="Q30" t="str">
        <f>CONCATENATE(TableMotorCrossRef[[#This Row],[Manufacturer]],TableMotorCrossRef[[#This Row],[Model]])</f>
        <v>KollmorgenAKM3xx-Gxxxx-00</v>
      </c>
    </row>
    <row r="31" spans="1:17" x14ac:dyDescent="0.25">
      <c r="A31" t="s">
        <v>206</v>
      </c>
      <c r="B31" s="180" t="s">
        <v>725</v>
      </c>
      <c r="C31" s="16">
        <v>226</v>
      </c>
      <c r="D31">
        <v>100</v>
      </c>
      <c r="E31">
        <v>80</v>
      </c>
      <c r="F31">
        <v>3</v>
      </c>
      <c r="G31">
        <v>19</v>
      </c>
      <c r="H31">
        <v>40</v>
      </c>
      <c r="I31">
        <v>84</v>
      </c>
      <c r="J31" t="s">
        <v>87</v>
      </c>
      <c r="K31">
        <v>8</v>
      </c>
      <c r="L31">
        <v>7</v>
      </c>
      <c r="M31" t="s">
        <v>87</v>
      </c>
      <c r="N31" t="s">
        <v>87</v>
      </c>
      <c r="O31">
        <v>4</v>
      </c>
      <c r="P31" s="92"/>
      <c r="Q31" s="96" t="str">
        <f>CONCATENATE(TableMotorCrossRef[[#This Row],[Manufacturer]],TableMotorCrossRef[[#This Row],[Model]])</f>
        <v>KollmorgenAKM4xx-Axxxx-00</v>
      </c>
    </row>
    <row r="32" spans="1:17" x14ac:dyDescent="0.25">
      <c r="A32" t="s">
        <v>206</v>
      </c>
      <c r="B32" t="s">
        <v>220</v>
      </c>
      <c r="D32">
        <v>98.43</v>
      </c>
      <c r="E32">
        <v>73.025000000000006</v>
      </c>
      <c r="F32">
        <v>3</v>
      </c>
      <c r="G32">
        <v>12.7</v>
      </c>
      <c r="H32">
        <v>31.75</v>
      </c>
      <c r="I32">
        <v>84</v>
      </c>
      <c r="J32" t="s">
        <v>87</v>
      </c>
      <c r="K32">
        <v>8</v>
      </c>
      <c r="L32">
        <v>5.54</v>
      </c>
      <c r="M32" t="s">
        <v>87</v>
      </c>
      <c r="N32" t="s">
        <v>87</v>
      </c>
      <c r="O32">
        <v>4</v>
      </c>
      <c r="Q32" s="103" t="str">
        <f>CONCATENATE(TableMotorCrossRef[[#This Row],[Manufacturer]],TableMotorCrossRef[[#This Row],[Model]])</f>
        <v>KollmorgenAKM4xx-Exxxx-00</v>
      </c>
    </row>
    <row r="33" spans="1:17" x14ac:dyDescent="0.25">
      <c r="A33" t="s">
        <v>206</v>
      </c>
      <c r="B33" t="s">
        <v>221</v>
      </c>
      <c r="D33">
        <v>100</v>
      </c>
      <c r="E33" s="16">
        <v>80</v>
      </c>
      <c r="F33">
        <v>3</v>
      </c>
      <c r="G33">
        <v>14</v>
      </c>
      <c r="H33">
        <v>30</v>
      </c>
      <c r="I33">
        <v>84</v>
      </c>
      <c r="J33" t="s">
        <v>87</v>
      </c>
      <c r="K33">
        <v>8</v>
      </c>
      <c r="L33">
        <v>7</v>
      </c>
      <c r="M33" t="s">
        <v>87</v>
      </c>
      <c r="N33" t="s">
        <v>87</v>
      </c>
      <c r="O33">
        <v>4</v>
      </c>
      <c r="P33" s="92"/>
      <c r="Q33" s="103" t="str">
        <f>CONCATENATE(TableMotorCrossRef[[#This Row],[Manufacturer]],TableMotorCrossRef[[#This Row],[Model]])</f>
        <v>KollmorgenAKM4xx-Gxxxx-00</v>
      </c>
    </row>
    <row r="34" spans="1:17" x14ac:dyDescent="0.25">
      <c r="A34" t="s">
        <v>206</v>
      </c>
      <c r="B34" t="s">
        <v>222</v>
      </c>
      <c r="D34">
        <v>90</v>
      </c>
      <c r="E34">
        <v>60</v>
      </c>
      <c r="F34">
        <v>3</v>
      </c>
      <c r="G34">
        <v>14</v>
      </c>
      <c r="H34">
        <v>30</v>
      </c>
      <c r="I34">
        <v>84</v>
      </c>
      <c r="J34" t="s">
        <v>87</v>
      </c>
      <c r="K34">
        <v>8</v>
      </c>
      <c r="L34">
        <v>5.54</v>
      </c>
      <c r="M34" t="s">
        <v>87</v>
      </c>
      <c r="N34" t="s">
        <v>87</v>
      </c>
      <c r="O34">
        <v>4</v>
      </c>
      <c r="Q34" s="103" t="str">
        <f>CONCATENATE(TableMotorCrossRef[[#This Row],[Manufacturer]],TableMotorCrossRef[[#This Row],[Model]])</f>
        <v>KollmorgenAKM4xx-Hxxxx-00</v>
      </c>
    </row>
    <row r="35" spans="1:17" x14ac:dyDescent="0.25">
      <c r="A35" t="s">
        <v>206</v>
      </c>
      <c r="B35" t="s">
        <v>223</v>
      </c>
      <c r="D35">
        <v>90</v>
      </c>
      <c r="E35">
        <v>70</v>
      </c>
      <c r="F35">
        <v>3</v>
      </c>
      <c r="G35">
        <v>16</v>
      </c>
      <c r="H35">
        <v>40</v>
      </c>
      <c r="I35">
        <v>84</v>
      </c>
      <c r="J35" t="s">
        <v>87</v>
      </c>
      <c r="K35">
        <v>8</v>
      </c>
      <c r="L35">
        <v>7</v>
      </c>
      <c r="M35" t="s">
        <v>87</v>
      </c>
      <c r="N35" t="s">
        <v>87</v>
      </c>
      <c r="O35">
        <v>4</v>
      </c>
      <c r="Q35" s="103" t="str">
        <f>CONCATENATE(TableMotorCrossRef[[#This Row],[Manufacturer]],TableMotorCrossRef[[#This Row],[Model]])</f>
        <v>KollmorgenAKM4xx-Kxxxx-00</v>
      </c>
    </row>
    <row r="36" spans="1:17" x14ac:dyDescent="0.25">
      <c r="A36" t="s">
        <v>206</v>
      </c>
      <c r="B36" t="s">
        <v>472</v>
      </c>
      <c r="C36" s="16">
        <v>86</v>
      </c>
      <c r="D36">
        <v>66.665999999999997</v>
      </c>
      <c r="E36">
        <v>38.1</v>
      </c>
      <c r="F36">
        <v>1.5</v>
      </c>
      <c r="G36">
        <v>6.35</v>
      </c>
      <c r="H36">
        <v>20.6</v>
      </c>
      <c r="I36">
        <v>57.2</v>
      </c>
      <c r="J36" t="s">
        <v>87</v>
      </c>
      <c r="K36">
        <v>5.3</v>
      </c>
      <c r="L36">
        <v>5.0999999999999996</v>
      </c>
      <c r="M36" t="s">
        <v>87</v>
      </c>
      <c r="N36" t="s">
        <v>87</v>
      </c>
      <c r="O36">
        <v>4</v>
      </c>
      <c r="P36" t="s">
        <v>474</v>
      </c>
      <c r="Q36" s="96" t="str">
        <f>CONCATENATE(TableMotorCrossRef[[#This Row],[Manufacturer]],TableMotorCrossRef[[#This Row],[Model]])</f>
        <v>KollmorgenCTM2xNLxxxx00</v>
      </c>
    </row>
    <row r="37" spans="1:17" x14ac:dyDescent="0.25">
      <c r="A37" t="s">
        <v>206</v>
      </c>
      <c r="B37" t="s">
        <v>475</v>
      </c>
      <c r="C37" s="16">
        <v>87</v>
      </c>
      <c r="D37">
        <v>98.429000000000002</v>
      </c>
      <c r="E37">
        <v>73.03</v>
      </c>
      <c r="F37">
        <v>2</v>
      </c>
      <c r="G37">
        <v>12.7</v>
      </c>
      <c r="H37">
        <v>31.8</v>
      </c>
      <c r="I37">
        <v>87.1</v>
      </c>
      <c r="J37" t="s">
        <v>87</v>
      </c>
      <c r="K37">
        <v>9.9</v>
      </c>
      <c r="L37">
        <v>5.66</v>
      </c>
      <c r="M37" t="s">
        <v>87</v>
      </c>
      <c r="N37" t="s">
        <v>87</v>
      </c>
      <c r="O37">
        <v>4</v>
      </c>
      <c r="P37" s="92" t="s">
        <v>474</v>
      </c>
      <c r="Q37" s="96" t="str">
        <f>CONCATENATE(TableMotorCrossRef[[#This Row],[Manufacturer]],TableMotorCrossRef[[#This Row],[Model]])</f>
        <v>KollmorgenCTM3xNLxxKx00</v>
      </c>
    </row>
    <row r="38" spans="1:17" x14ac:dyDescent="0.25">
      <c r="A38" s="92" t="s">
        <v>206</v>
      </c>
      <c r="B38" s="92" t="s">
        <v>473</v>
      </c>
      <c r="C38" s="16">
        <v>86</v>
      </c>
      <c r="D38">
        <v>66.665999999999997</v>
      </c>
      <c r="E38">
        <v>38.1</v>
      </c>
      <c r="F38">
        <v>1.5</v>
      </c>
      <c r="G38">
        <v>6.35</v>
      </c>
      <c r="H38">
        <v>20.6</v>
      </c>
      <c r="I38">
        <v>57.2</v>
      </c>
      <c r="J38" t="s">
        <v>87</v>
      </c>
      <c r="K38">
        <v>5.3</v>
      </c>
      <c r="L38">
        <v>5.0999999999999996</v>
      </c>
      <c r="M38" t="s">
        <v>87</v>
      </c>
      <c r="N38" t="s">
        <v>87</v>
      </c>
      <c r="O38">
        <v>4</v>
      </c>
      <c r="P38" t="s">
        <v>474</v>
      </c>
      <c r="Q38" s="96" t="str">
        <f>CONCATENATE(TableMotorCrossRef[[#This Row],[Manufacturer]],TableMotorCrossRef[[#This Row],[Model]])</f>
        <v>KollmorgenCTP2xNLxxxx00</v>
      </c>
    </row>
    <row r="39" spans="1:17" x14ac:dyDescent="0.25">
      <c r="A39" s="92" t="s">
        <v>206</v>
      </c>
      <c r="B39" s="92" t="s">
        <v>476</v>
      </c>
      <c r="C39" s="16">
        <v>87</v>
      </c>
      <c r="D39">
        <v>98.429000000000002</v>
      </c>
      <c r="E39">
        <v>73.03</v>
      </c>
      <c r="F39">
        <v>2</v>
      </c>
      <c r="G39">
        <v>12.7</v>
      </c>
      <c r="H39">
        <v>31.8</v>
      </c>
      <c r="I39">
        <v>87.1</v>
      </c>
      <c r="J39" t="s">
        <v>87</v>
      </c>
      <c r="K39">
        <v>9.9</v>
      </c>
      <c r="L39">
        <v>5.66</v>
      </c>
      <c r="M39" t="s">
        <v>87</v>
      </c>
      <c r="N39" t="s">
        <v>87</v>
      </c>
      <c r="O39">
        <v>4</v>
      </c>
      <c r="P39" s="92" t="s">
        <v>474</v>
      </c>
      <c r="Q39" s="96" t="str">
        <f>CONCATENATE(TableMotorCrossRef[[#This Row],[Manufacturer]],TableMotorCrossRef[[#This Row],[Model]])</f>
        <v>KollmorgenCTP3xNLxxKx00</v>
      </c>
    </row>
    <row r="40" spans="1:17" s="92" customFormat="1" x14ac:dyDescent="0.25">
      <c r="A40" s="92" t="s">
        <v>206</v>
      </c>
      <c r="B40" s="92" t="s">
        <v>465</v>
      </c>
      <c r="C40" s="92">
        <v>82</v>
      </c>
      <c r="D40" s="92">
        <v>66.674999999999997</v>
      </c>
      <c r="E40" s="92">
        <v>38.1</v>
      </c>
      <c r="F40" s="92">
        <v>1.5</v>
      </c>
      <c r="G40" s="92">
        <v>9.5249999999999986</v>
      </c>
      <c r="H40" s="92">
        <v>20.6</v>
      </c>
      <c r="I40" s="92">
        <v>57.9</v>
      </c>
      <c r="J40" s="92" t="s">
        <v>87</v>
      </c>
      <c r="K40" s="92">
        <v>6.1</v>
      </c>
      <c r="L40" s="92">
        <v>5.08</v>
      </c>
      <c r="M40" s="92" t="s">
        <v>87</v>
      </c>
      <c r="N40" s="92" t="s">
        <v>87</v>
      </c>
      <c r="O40" s="92">
        <v>4</v>
      </c>
      <c r="P40" s="92" t="s">
        <v>469</v>
      </c>
      <c r="Q40" s="96" t="str">
        <f>CONCATENATE(TableMotorCrossRef[[#This Row],[Manufacturer]],TableMotorCrossRef[[#This Row],[Model]])</f>
        <v>KollmorgenVLM-2xx-Bxxx-00</v>
      </c>
    </row>
    <row r="41" spans="1:17" x14ac:dyDescent="0.25">
      <c r="A41" s="92" t="s">
        <v>206</v>
      </c>
      <c r="B41" s="92" t="s">
        <v>466</v>
      </c>
      <c r="C41" s="16">
        <v>83</v>
      </c>
      <c r="D41">
        <v>66.674999999999997</v>
      </c>
      <c r="E41">
        <v>38.1</v>
      </c>
      <c r="F41">
        <v>1.5</v>
      </c>
      <c r="G41">
        <v>6.35</v>
      </c>
      <c r="H41">
        <v>20.6</v>
      </c>
      <c r="I41">
        <v>57.9</v>
      </c>
      <c r="J41" t="s">
        <v>87</v>
      </c>
      <c r="K41">
        <v>6.1</v>
      </c>
      <c r="L41">
        <v>5.08</v>
      </c>
      <c r="M41" t="s">
        <v>87</v>
      </c>
      <c r="N41" t="s">
        <v>87</v>
      </c>
      <c r="O41">
        <v>4</v>
      </c>
      <c r="P41" s="92" t="s">
        <v>469</v>
      </c>
      <c r="Q41" s="96" t="str">
        <f>CONCATENATE(TableMotorCrossRef[[#This Row],[Manufacturer]],TableMotorCrossRef[[#This Row],[Model]])</f>
        <v>KollmorgenVLM-2xx-Dxxx-00</v>
      </c>
    </row>
    <row r="42" spans="1:17" x14ac:dyDescent="0.25">
      <c r="A42" s="92" t="s">
        <v>206</v>
      </c>
      <c r="B42" t="s">
        <v>467</v>
      </c>
      <c r="C42" s="16">
        <v>25</v>
      </c>
      <c r="D42" s="92">
        <v>70.7</v>
      </c>
      <c r="E42" s="92">
        <v>36</v>
      </c>
      <c r="F42" s="92">
        <v>1.5</v>
      </c>
      <c r="G42" s="92">
        <v>11</v>
      </c>
      <c r="H42" s="92">
        <v>28.5</v>
      </c>
      <c r="I42" s="92">
        <v>58</v>
      </c>
      <c r="J42" s="92" t="s">
        <v>87</v>
      </c>
      <c r="K42" s="92">
        <v>6.1</v>
      </c>
      <c r="L42" s="92">
        <v>4.5</v>
      </c>
      <c r="M42" s="92" t="s">
        <v>87</v>
      </c>
      <c r="N42" s="92" t="s">
        <v>87</v>
      </c>
      <c r="O42" s="92">
        <v>4</v>
      </c>
      <c r="P42" s="92" t="s">
        <v>469</v>
      </c>
      <c r="Q42" s="96" t="str">
        <f>CONCATENATE(TableMotorCrossRef[[#This Row],[Manufacturer]],TableMotorCrossRef[[#This Row],[Model]])</f>
        <v>KollmorgenVLM-2xx-Exxx-00</v>
      </c>
    </row>
    <row r="43" spans="1:17" x14ac:dyDescent="0.25">
      <c r="A43" t="s">
        <v>206</v>
      </c>
      <c r="B43" t="s">
        <v>468</v>
      </c>
      <c r="C43" s="16">
        <v>81</v>
      </c>
      <c r="D43">
        <v>70</v>
      </c>
      <c r="E43">
        <v>50</v>
      </c>
      <c r="F43">
        <v>1.5</v>
      </c>
      <c r="G43">
        <v>14</v>
      </c>
      <c r="H43">
        <v>30</v>
      </c>
      <c r="I43">
        <v>58</v>
      </c>
      <c r="J43" t="s">
        <v>87</v>
      </c>
      <c r="K43">
        <v>6.1</v>
      </c>
      <c r="L43">
        <v>5.5</v>
      </c>
      <c r="M43" t="s">
        <v>87</v>
      </c>
      <c r="N43" t="s">
        <v>87</v>
      </c>
      <c r="O43">
        <v>4</v>
      </c>
      <c r="P43" s="92" t="s">
        <v>469</v>
      </c>
      <c r="Q43" s="96" t="str">
        <f>CONCATENATE(TableMotorCrossRef[[#This Row],[Manufacturer]],TableMotorCrossRef[[#This Row],[Model]])</f>
        <v>KollmorgenVLM-2xx-Gxxx-00</v>
      </c>
    </row>
    <row r="44" spans="1:17" x14ac:dyDescent="0.25">
      <c r="A44" s="92" t="s">
        <v>206</v>
      </c>
      <c r="B44" t="s">
        <v>470</v>
      </c>
      <c r="C44" s="92">
        <v>84</v>
      </c>
      <c r="D44" s="92">
        <v>100</v>
      </c>
      <c r="E44" s="92">
        <v>80</v>
      </c>
      <c r="F44" s="92">
        <v>1.5</v>
      </c>
      <c r="G44" s="92">
        <v>14</v>
      </c>
      <c r="H44" s="92">
        <v>30</v>
      </c>
      <c r="I44" s="92">
        <v>86</v>
      </c>
      <c r="J44" s="92" t="s">
        <v>87</v>
      </c>
      <c r="K44" s="92">
        <v>8.4</v>
      </c>
      <c r="L44" s="92">
        <v>7</v>
      </c>
      <c r="M44" s="92" t="s">
        <v>87</v>
      </c>
      <c r="N44" s="92" t="s">
        <v>87</v>
      </c>
      <c r="O44" s="92">
        <v>4</v>
      </c>
      <c r="P44" s="92" t="s">
        <v>469</v>
      </c>
      <c r="Q44" s="96" t="str">
        <f>CONCATENATE(TableMotorCrossRef[[#This Row],[Manufacturer]],TableMotorCrossRef[[#This Row],[Model]])</f>
        <v>KollmorgenVLM-3xx-Cxxx-00</v>
      </c>
    </row>
    <row r="45" spans="1:17" x14ac:dyDescent="0.25">
      <c r="A45" s="92" t="s">
        <v>206</v>
      </c>
      <c r="B45" t="s">
        <v>471</v>
      </c>
      <c r="C45" s="92">
        <v>85</v>
      </c>
      <c r="D45" s="92">
        <v>98.424999999999997</v>
      </c>
      <c r="E45" s="92">
        <v>73.025000000000006</v>
      </c>
      <c r="F45" s="92">
        <v>1.5</v>
      </c>
      <c r="G45" s="92">
        <v>12.7</v>
      </c>
      <c r="H45" s="92">
        <v>31.8</v>
      </c>
      <c r="I45" s="92">
        <v>85.9</v>
      </c>
      <c r="J45" s="92" t="s">
        <v>87</v>
      </c>
      <c r="K45" s="92">
        <v>8.3800000000000008</v>
      </c>
      <c r="L45" s="92">
        <v>5.54</v>
      </c>
      <c r="M45" s="92" t="s">
        <v>87</v>
      </c>
      <c r="N45" s="92" t="s">
        <v>87</v>
      </c>
      <c r="O45" s="92">
        <v>4</v>
      </c>
      <c r="P45" s="103" t="s">
        <v>469</v>
      </c>
      <c r="Q45" s="96" t="str">
        <f>CONCATENATE(TableMotorCrossRef[[#This Row],[Manufacturer]],TableMotorCrossRef[[#This Row],[Model]])</f>
        <v>KollmorgenVLM-3xx-Dxxx-00</v>
      </c>
    </row>
    <row r="46" spans="1:17" x14ac:dyDescent="0.25">
      <c r="A46" s="92" t="s">
        <v>324</v>
      </c>
      <c r="B46" t="s">
        <v>326</v>
      </c>
      <c r="C46" s="92">
        <v>39</v>
      </c>
      <c r="D46" s="92">
        <v>66.813000000000002</v>
      </c>
      <c r="E46" s="92">
        <v>38.1</v>
      </c>
      <c r="F46" s="92">
        <v>1.5</v>
      </c>
      <c r="G46" s="92">
        <v>6.35</v>
      </c>
      <c r="H46" s="92">
        <v>20.6</v>
      </c>
      <c r="I46" s="92">
        <v>57.2</v>
      </c>
      <c r="J46" s="92" t="s">
        <v>87</v>
      </c>
      <c r="K46" s="92">
        <v>5.0999999999999996</v>
      </c>
      <c r="L46" s="92">
        <v>5.0999999999999996</v>
      </c>
      <c r="M46" s="92" t="s">
        <v>87</v>
      </c>
      <c r="N46" s="92" t="s">
        <v>87</v>
      </c>
      <c r="O46" s="92">
        <v>4</v>
      </c>
      <c r="P46" s="103" t="s">
        <v>325</v>
      </c>
      <c r="Q46" s="103" t="str">
        <f>CONCATENATE(TableMotorCrossRef[[#This Row],[Manufacturer]],TableMotorCrossRef[[#This Row],[Model]])</f>
        <v>Lin5718x</v>
      </c>
    </row>
    <row r="47" spans="1:17" x14ac:dyDescent="0.25">
      <c r="A47" s="92" t="s">
        <v>324</v>
      </c>
      <c r="B47" t="s">
        <v>328</v>
      </c>
      <c r="C47" s="16">
        <v>40</v>
      </c>
      <c r="D47">
        <v>98.424000000000007</v>
      </c>
      <c r="E47">
        <v>73.025000000000006</v>
      </c>
      <c r="F47">
        <v>2</v>
      </c>
      <c r="G47">
        <v>12.7</v>
      </c>
      <c r="H47">
        <v>37.1</v>
      </c>
      <c r="I47">
        <v>86.1</v>
      </c>
      <c r="J47" t="s">
        <v>87</v>
      </c>
      <c r="K47">
        <v>10.199999999999999</v>
      </c>
      <c r="L47">
        <v>6.6</v>
      </c>
      <c r="M47" t="s">
        <v>87</v>
      </c>
      <c r="N47" t="s">
        <v>87</v>
      </c>
      <c r="O47">
        <v>4</v>
      </c>
      <c r="P47" s="103" t="s">
        <v>327</v>
      </c>
      <c r="Q47" s="103" t="str">
        <f>CONCATENATE(TableMotorCrossRef[[#This Row],[Manufacturer]],TableMotorCrossRef[[#This Row],[Model]])</f>
        <v>Lin8718x</v>
      </c>
    </row>
    <row r="48" spans="1:17" x14ac:dyDescent="0.25">
      <c r="A48" s="92" t="s">
        <v>324</v>
      </c>
      <c r="B48" t="s">
        <v>329</v>
      </c>
      <c r="C48" s="16">
        <v>41</v>
      </c>
      <c r="D48" s="92">
        <v>66.807000000000002</v>
      </c>
      <c r="E48" s="92">
        <v>38.1</v>
      </c>
      <c r="F48" s="92">
        <v>1.5</v>
      </c>
      <c r="G48" s="92">
        <v>6.35</v>
      </c>
      <c r="H48" s="92">
        <v>20.5</v>
      </c>
      <c r="I48" s="92">
        <v>57.4</v>
      </c>
      <c r="J48" s="92" t="s">
        <v>87</v>
      </c>
      <c r="K48" s="92">
        <v>4.57</v>
      </c>
      <c r="L48" s="92">
        <v>5.08</v>
      </c>
      <c r="M48" s="92" t="s">
        <v>87</v>
      </c>
      <c r="N48" s="92" t="s">
        <v>87</v>
      </c>
      <c r="O48" s="92">
        <v>4</v>
      </c>
      <c r="P48" s="103" t="s">
        <v>330</v>
      </c>
      <c r="Q48" s="103" t="str">
        <f>CONCATENATE(TableMotorCrossRef[[#This Row],[Manufacturer]],TableMotorCrossRef[[#This Row],[Model]])</f>
        <v>LinBL24Bxx</v>
      </c>
    </row>
    <row r="49" spans="1:17" x14ac:dyDescent="0.25">
      <c r="A49" s="92" t="s">
        <v>619</v>
      </c>
      <c r="B49" t="s">
        <v>615</v>
      </c>
      <c r="D49" s="92">
        <v>43.8</v>
      </c>
      <c r="E49" s="92">
        <v>22</v>
      </c>
      <c r="F49" s="92">
        <v>4</v>
      </c>
      <c r="G49" s="92">
        <v>6.35</v>
      </c>
      <c r="H49" s="92">
        <v>25.4</v>
      </c>
      <c r="I49" s="92">
        <v>42</v>
      </c>
      <c r="J49" s="92" t="s">
        <v>87</v>
      </c>
      <c r="K49" s="92">
        <v>4.8</v>
      </c>
      <c r="L49" s="92">
        <v>4</v>
      </c>
      <c r="M49" s="92" t="s">
        <v>87</v>
      </c>
      <c r="N49" s="92" t="s">
        <v>87</v>
      </c>
      <c r="O49" s="92">
        <v>4</v>
      </c>
      <c r="P49" s="174" t="s">
        <v>616</v>
      </c>
      <c r="Q49" s="96" t="str">
        <f>CONCATENATE(TableMotorCrossRef[[#This Row],[Manufacturer]],TableMotorCrossRef[[#This Row],[Model]])</f>
        <v>Micron NemaTRUE NT17</v>
      </c>
    </row>
    <row r="50" spans="1:17" x14ac:dyDescent="0.25">
      <c r="A50" s="92" t="s">
        <v>619</v>
      </c>
      <c r="B50" t="s">
        <v>617</v>
      </c>
      <c r="D50" s="92">
        <v>66.7</v>
      </c>
      <c r="E50" s="92">
        <v>38.1</v>
      </c>
      <c r="F50" s="92">
        <v>4</v>
      </c>
      <c r="G50" s="92">
        <v>9.5299999999999994</v>
      </c>
      <c r="H50" s="92">
        <v>25.4</v>
      </c>
      <c r="I50" s="92">
        <v>60</v>
      </c>
      <c r="J50" s="92" t="s">
        <v>87</v>
      </c>
      <c r="K50" s="92">
        <v>6.4</v>
      </c>
      <c r="L50" s="92">
        <v>5</v>
      </c>
      <c r="M50" s="92" t="s">
        <v>87</v>
      </c>
      <c r="N50" s="92" t="s">
        <v>87</v>
      </c>
      <c r="O50" s="92">
        <v>4</v>
      </c>
      <c r="P50" s="174" t="s">
        <v>616</v>
      </c>
      <c r="Q50" s="96" t="str">
        <f>CONCATENATE(TableMotorCrossRef[[#This Row],[Manufacturer]],TableMotorCrossRef[[#This Row],[Model]])</f>
        <v>Micron NemaTRUE NT23</v>
      </c>
    </row>
    <row r="51" spans="1:17" x14ac:dyDescent="0.25">
      <c r="A51" t="s">
        <v>619</v>
      </c>
      <c r="B51" t="s">
        <v>618</v>
      </c>
      <c r="D51">
        <v>70</v>
      </c>
      <c r="E51">
        <v>50</v>
      </c>
      <c r="F51">
        <v>4</v>
      </c>
      <c r="G51">
        <v>16</v>
      </c>
      <c r="H51">
        <v>25</v>
      </c>
      <c r="I51">
        <v>60</v>
      </c>
      <c r="J51" t="s">
        <v>87</v>
      </c>
      <c r="K51">
        <v>10</v>
      </c>
      <c r="L51">
        <v>5</v>
      </c>
      <c r="M51" t="s">
        <v>87</v>
      </c>
      <c r="N51" t="s">
        <v>87</v>
      </c>
      <c r="O51">
        <v>4</v>
      </c>
      <c r="P51" s="174" t="s">
        <v>616</v>
      </c>
      <c r="Q51" s="96" t="str">
        <f>CONCATENATE(TableMotorCrossRef[[#This Row],[Manufacturer]],TableMotorCrossRef[[#This Row],[Model]])</f>
        <v>Micron NemaTRUE NT60</v>
      </c>
    </row>
    <row r="52" spans="1:17" x14ac:dyDescent="0.25">
      <c r="A52" t="s">
        <v>619</v>
      </c>
      <c r="B52" t="s">
        <v>620</v>
      </c>
      <c r="D52">
        <v>52</v>
      </c>
      <c r="E52">
        <v>40</v>
      </c>
      <c r="F52">
        <v>4</v>
      </c>
      <c r="G52">
        <v>14</v>
      </c>
      <c r="H52">
        <v>35</v>
      </c>
      <c r="I52">
        <v>61</v>
      </c>
      <c r="J52" t="s">
        <v>87</v>
      </c>
      <c r="K52" t="s">
        <v>87</v>
      </c>
      <c r="L52" t="s">
        <v>87</v>
      </c>
      <c r="M52" t="s">
        <v>45</v>
      </c>
      <c r="N52">
        <v>8</v>
      </c>
      <c r="O52">
        <v>4</v>
      </c>
      <c r="P52" s="174" t="s">
        <v>616</v>
      </c>
      <c r="Q52" s="96" t="str">
        <f>CONCATENATE(TableMotorCrossRef[[#This Row],[Manufacturer]],TableMotorCrossRef[[#This Row],[Model]])</f>
        <v>Micron XTRUE XT060</v>
      </c>
    </row>
    <row r="53" spans="1:17" x14ac:dyDescent="0.25">
      <c r="A53" t="s">
        <v>331</v>
      </c>
      <c r="B53" t="s">
        <v>332</v>
      </c>
      <c r="C53" s="16">
        <v>42</v>
      </c>
      <c r="D53">
        <v>46</v>
      </c>
      <c r="E53">
        <v>30</v>
      </c>
      <c r="F53">
        <v>2.5</v>
      </c>
      <c r="G53">
        <v>8</v>
      </c>
      <c r="H53">
        <v>25</v>
      </c>
      <c r="I53">
        <v>40</v>
      </c>
      <c r="J53" t="s">
        <v>87</v>
      </c>
      <c r="K53">
        <v>5</v>
      </c>
      <c r="L53">
        <v>4.5</v>
      </c>
      <c r="M53" t="s">
        <v>87</v>
      </c>
      <c r="N53" t="s">
        <v>87</v>
      </c>
      <c r="O53">
        <v>4</v>
      </c>
      <c r="P53" t="s">
        <v>334</v>
      </c>
      <c r="Q53" s="97" t="str">
        <f>CONCATENATE(TableMotorCrossRef[[#This Row],[Manufacturer]],TableMotorCrossRef[[#This Row],[Model]])</f>
        <v>MitsubishiHF-KE13</v>
      </c>
    </row>
    <row r="54" spans="1:17" x14ac:dyDescent="0.25">
      <c r="A54" s="92" t="s">
        <v>331</v>
      </c>
      <c r="B54" t="s">
        <v>333</v>
      </c>
      <c r="C54" s="16">
        <v>43</v>
      </c>
      <c r="D54">
        <v>70</v>
      </c>
      <c r="E54">
        <v>50</v>
      </c>
      <c r="F54">
        <v>3</v>
      </c>
      <c r="G54">
        <v>14</v>
      </c>
      <c r="H54">
        <v>30</v>
      </c>
      <c r="I54">
        <v>60</v>
      </c>
      <c r="J54" t="s">
        <v>87</v>
      </c>
      <c r="K54">
        <v>7</v>
      </c>
      <c r="L54">
        <v>5.8</v>
      </c>
      <c r="M54" t="s">
        <v>87</v>
      </c>
      <c r="N54" t="s">
        <v>87</v>
      </c>
      <c r="O54">
        <v>4</v>
      </c>
      <c r="P54" t="s">
        <v>334</v>
      </c>
      <c r="Q54" s="97" t="str">
        <f>CONCATENATE(TableMotorCrossRef[[#This Row],[Manufacturer]],TableMotorCrossRef[[#This Row],[Model]])</f>
        <v>MitsubishiHF-KE23</v>
      </c>
    </row>
    <row r="55" spans="1:17" x14ac:dyDescent="0.25">
      <c r="A55" s="92" t="s">
        <v>331</v>
      </c>
      <c r="B55" t="s">
        <v>335</v>
      </c>
      <c r="C55" s="16">
        <v>42</v>
      </c>
      <c r="D55">
        <v>46</v>
      </c>
      <c r="E55">
        <v>30</v>
      </c>
      <c r="F55">
        <v>2.5</v>
      </c>
      <c r="G55">
        <v>8</v>
      </c>
      <c r="H55">
        <v>25</v>
      </c>
      <c r="I55">
        <v>40</v>
      </c>
      <c r="J55" t="s">
        <v>87</v>
      </c>
      <c r="K55">
        <v>5</v>
      </c>
      <c r="L55">
        <v>4.5</v>
      </c>
      <c r="M55" t="s">
        <v>87</v>
      </c>
      <c r="N55" t="s">
        <v>87</v>
      </c>
      <c r="O55">
        <v>4</v>
      </c>
      <c r="P55" s="92" t="s">
        <v>334</v>
      </c>
      <c r="Q55" s="97" t="str">
        <f>CONCATENATE(TableMotorCrossRef[[#This Row],[Manufacturer]],TableMotorCrossRef[[#This Row],[Model]])</f>
        <v>MitsubishiHF-KN053</v>
      </c>
    </row>
    <row r="56" spans="1:17" x14ac:dyDescent="0.25">
      <c r="A56" t="s">
        <v>331</v>
      </c>
      <c r="B56" t="s">
        <v>337</v>
      </c>
      <c r="C56" s="16">
        <v>42</v>
      </c>
      <c r="D56">
        <v>46</v>
      </c>
      <c r="E56">
        <v>30</v>
      </c>
      <c r="F56">
        <v>2.5</v>
      </c>
      <c r="G56">
        <v>8</v>
      </c>
      <c r="H56">
        <v>25</v>
      </c>
      <c r="I56">
        <v>40</v>
      </c>
      <c r="J56" t="s">
        <v>87</v>
      </c>
      <c r="K56">
        <v>5</v>
      </c>
      <c r="L56">
        <v>4.5</v>
      </c>
      <c r="M56" t="s">
        <v>87</v>
      </c>
      <c r="N56" t="s">
        <v>87</v>
      </c>
      <c r="O56">
        <v>4</v>
      </c>
      <c r="P56" s="92" t="s">
        <v>334</v>
      </c>
      <c r="Q56" t="str">
        <f>CONCATENATE(TableMotorCrossRef[[#This Row],[Manufacturer]],TableMotorCrossRef[[#This Row],[Model]])</f>
        <v>MitsubishiHF-KN13</v>
      </c>
    </row>
    <row r="57" spans="1:17" x14ac:dyDescent="0.25">
      <c r="A57" t="s">
        <v>331</v>
      </c>
      <c r="B57" t="s">
        <v>336</v>
      </c>
      <c r="C57" s="16">
        <v>43</v>
      </c>
      <c r="D57">
        <v>70</v>
      </c>
      <c r="E57">
        <v>50</v>
      </c>
      <c r="F57">
        <v>3</v>
      </c>
      <c r="G57">
        <v>14</v>
      </c>
      <c r="H57">
        <v>30</v>
      </c>
      <c r="I57">
        <v>60</v>
      </c>
      <c r="J57" t="s">
        <v>87</v>
      </c>
      <c r="K57">
        <v>7</v>
      </c>
      <c r="L57">
        <v>5.8</v>
      </c>
      <c r="M57" t="s">
        <v>87</v>
      </c>
      <c r="N57" t="s">
        <v>87</v>
      </c>
      <c r="O57">
        <v>4</v>
      </c>
      <c r="P57" t="s">
        <v>334</v>
      </c>
      <c r="Q57" s="97" t="str">
        <f>CONCATENATE(TableMotorCrossRef[[#This Row],[Manufacturer]],TableMotorCrossRef[[#This Row],[Model]])</f>
        <v>MitsubishiHF-KN23</v>
      </c>
    </row>
    <row r="58" spans="1:17" x14ac:dyDescent="0.25">
      <c r="A58" s="92" t="s">
        <v>331</v>
      </c>
      <c r="B58" t="s">
        <v>338</v>
      </c>
      <c r="C58" s="16">
        <v>43</v>
      </c>
      <c r="D58" s="92">
        <v>70</v>
      </c>
      <c r="E58" s="92">
        <v>50</v>
      </c>
      <c r="F58" s="92">
        <v>3</v>
      </c>
      <c r="G58" s="92">
        <v>14</v>
      </c>
      <c r="H58" s="92">
        <v>30</v>
      </c>
      <c r="I58" s="92">
        <v>60</v>
      </c>
      <c r="J58" s="92" t="s">
        <v>87</v>
      </c>
      <c r="K58" s="92">
        <v>7</v>
      </c>
      <c r="L58" s="92">
        <v>5.8</v>
      </c>
      <c r="M58" s="92" t="s">
        <v>87</v>
      </c>
      <c r="N58" s="92" t="s">
        <v>87</v>
      </c>
      <c r="O58" s="92">
        <v>4</v>
      </c>
      <c r="P58" s="92" t="s">
        <v>334</v>
      </c>
      <c r="Q58" s="97" t="str">
        <f>CONCATENATE(TableMotorCrossRef[[#This Row],[Manufacturer]],TableMotorCrossRef[[#This Row],[Model]])</f>
        <v>MitsubishiHF-KN43</v>
      </c>
    </row>
    <row r="59" spans="1:17" x14ac:dyDescent="0.25">
      <c r="A59" s="92" t="s">
        <v>331</v>
      </c>
      <c r="B59" t="s">
        <v>339</v>
      </c>
      <c r="C59" s="16">
        <v>42</v>
      </c>
      <c r="D59">
        <v>46</v>
      </c>
      <c r="E59">
        <v>30</v>
      </c>
      <c r="F59">
        <v>2.5</v>
      </c>
      <c r="G59">
        <v>8</v>
      </c>
      <c r="H59">
        <v>25</v>
      </c>
      <c r="I59">
        <v>40</v>
      </c>
      <c r="J59" t="s">
        <v>87</v>
      </c>
      <c r="K59">
        <v>5</v>
      </c>
      <c r="L59">
        <v>4.5</v>
      </c>
      <c r="M59" s="92" t="s">
        <v>87</v>
      </c>
      <c r="N59" s="92" t="s">
        <v>87</v>
      </c>
      <c r="O59">
        <v>4</v>
      </c>
      <c r="P59" t="s">
        <v>334</v>
      </c>
      <c r="Q59" s="97" t="str">
        <f>CONCATENATE(TableMotorCrossRef[[#This Row],[Manufacturer]],TableMotorCrossRef[[#This Row],[Model]])</f>
        <v>MitsubishiHG-KR053</v>
      </c>
    </row>
    <row r="60" spans="1:17" x14ac:dyDescent="0.25">
      <c r="A60" s="92" t="s">
        <v>331</v>
      </c>
      <c r="B60" s="92" t="s">
        <v>340</v>
      </c>
      <c r="C60" s="16">
        <v>42</v>
      </c>
      <c r="D60">
        <v>46</v>
      </c>
      <c r="E60">
        <v>30</v>
      </c>
      <c r="F60">
        <v>2.5</v>
      </c>
      <c r="G60">
        <v>8</v>
      </c>
      <c r="H60">
        <v>25</v>
      </c>
      <c r="I60">
        <v>40</v>
      </c>
      <c r="J60" t="s">
        <v>87</v>
      </c>
      <c r="K60">
        <v>5</v>
      </c>
      <c r="L60">
        <v>4.5</v>
      </c>
      <c r="M60" s="92" t="s">
        <v>87</v>
      </c>
      <c r="N60" s="92" t="s">
        <v>87</v>
      </c>
      <c r="O60">
        <v>4</v>
      </c>
      <c r="P60" t="s">
        <v>334</v>
      </c>
      <c r="Q60" s="97" t="str">
        <f>CONCATENATE(TableMotorCrossRef[[#This Row],[Manufacturer]],TableMotorCrossRef[[#This Row],[Model]])</f>
        <v>MitsubishiHG-KR13</v>
      </c>
    </row>
    <row r="61" spans="1:17" x14ac:dyDescent="0.25">
      <c r="A61" s="92" t="s">
        <v>331</v>
      </c>
      <c r="B61" s="92" t="s">
        <v>343</v>
      </c>
      <c r="C61" s="16">
        <v>43</v>
      </c>
      <c r="D61" s="92">
        <v>70</v>
      </c>
      <c r="E61">
        <v>50</v>
      </c>
      <c r="F61">
        <v>3</v>
      </c>
      <c r="G61" s="92">
        <v>14</v>
      </c>
      <c r="H61">
        <v>30</v>
      </c>
      <c r="I61" s="92">
        <v>60</v>
      </c>
      <c r="J61" t="s">
        <v>87</v>
      </c>
      <c r="K61">
        <v>7</v>
      </c>
      <c r="L61" s="92">
        <v>5.8</v>
      </c>
      <c r="M61" s="92" t="s">
        <v>87</v>
      </c>
      <c r="N61" s="92" t="s">
        <v>87</v>
      </c>
      <c r="O61">
        <v>4</v>
      </c>
      <c r="P61" t="s">
        <v>334</v>
      </c>
      <c r="Q61" s="103" t="str">
        <f>CONCATENATE(TableMotorCrossRef[[#This Row],[Manufacturer]],TableMotorCrossRef[[#This Row],[Model]])</f>
        <v>MitsubishiHG-KR23</v>
      </c>
    </row>
    <row r="62" spans="1:17" x14ac:dyDescent="0.25">
      <c r="A62" s="92" t="s">
        <v>331</v>
      </c>
      <c r="B62" s="92" t="s">
        <v>344</v>
      </c>
      <c r="C62" s="16">
        <v>43</v>
      </c>
      <c r="D62" s="92">
        <v>70</v>
      </c>
      <c r="E62">
        <v>50</v>
      </c>
      <c r="F62">
        <v>3</v>
      </c>
      <c r="G62" s="92">
        <v>14</v>
      </c>
      <c r="H62">
        <v>30</v>
      </c>
      <c r="I62" s="92">
        <v>60</v>
      </c>
      <c r="J62" t="s">
        <v>87</v>
      </c>
      <c r="K62">
        <v>7</v>
      </c>
      <c r="L62" s="92">
        <v>5.8</v>
      </c>
      <c r="M62" s="92" t="s">
        <v>87</v>
      </c>
      <c r="N62" s="92" t="s">
        <v>87</v>
      </c>
      <c r="O62">
        <v>4</v>
      </c>
      <c r="P62" t="s">
        <v>334</v>
      </c>
      <c r="Q62" s="103" t="str">
        <f>CONCATENATE(TableMotorCrossRef[[#This Row],[Manufacturer]],TableMotorCrossRef[[#This Row],[Model]])</f>
        <v>MitsubishiHG-KR43</v>
      </c>
    </row>
    <row r="63" spans="1:17" x14ac:dyDescent="0.25">
      <c r="A63" s="92" t="s">
        <v>331</v>
      </c>
      <c r="B63" t="s">
        <v>341</v>
      </c>
      <c r="C63" s="16">
        <v>42</v>
      </c>
      <c r="D63">
        <v>46</v>
      </c>
      <c r="E63">
        <v>30</v>
      </c>
      <c r="F63">
        <v>2.5</v>
      </c>
      <c r="G63">
        <v>8</v>
      </c>
      <c r="H63">
        <v>25</v>
      </c>
      <c r="I63">
        <v>40</v>
      </c>
      <c r="J63" s="92" t="s">
        <v>87</v>
      </c>
      <c r="K63">
        <v>5</v>
      </c>
      <c r="L63">
        <v>4.5</v>
      </c>
      <c r="M63" s="92" t="s">
        <v>87</v>
      </c>
      <c r="N63" s="92" t="s">
        <v>87</v>
      </c>
      <c r="O63" s="92">
        <v>4</v>
      </c>
      <c r="P63" s="92" t="s">
        <v>334</v>
      </c>
      <c r="Q63" s="103" t="str">
        <f>CONCATENATE(TableMotorCrossRef[[#This Row],[Manufacturer]],TableMotorCrossRef[[#This Row],[Model]])</f>
        <v>MitsubishiHG-MR053</v>
      </c>
    </row>
    <row r="64" spans="1:17" x14ac:dyDescent="0.25">
      <c r="A64" s="92" t="s">
        <v>331</v>
      </c>
      <c r="B64" s="92" t="s">
        <v>342</v>
      </c>
      <c r="C64" s="16">
        <v>42</v>
      </c>
      <c r="D64" s="92">
        <v>46</v>
      </c>
      <c r="E64" s="92">
        <v>30</v>
      </c>
      <c r="F64">
        <v>2.5</v>
      </c>
      <c r="G64">
        <v>8</v>
      </c>
      <c r="H64" s="92">
        <v>25</v>
      </c>
      <c r="I64">
        <v>40</v>
      </c>
      <c r="J64" s="92" t="s">
        <v>87</v>
      </c>
      <c r="K64">
        <v>5</v>
      </c>
      <c r="L64" s="92">
        <v>4.5</v>
      </c>
      <c r="M64" s="92" t="s">
        <v>87</v>
      </c>
      <c r="N64" s="92" t="s">
        <v>87</v>
      </c>
      <c r="O64" s="92">
        <v>4</v>
      </c>
      <c r="P64" s="92" t="s">
        <v>334</v>
      </c>
      <c r="Q64" s="103" t="str">
        <f>CONCATENATE(TableMotorCrossRef[[#This Row],[Manufacturer]],TableMotorCrossRef[[#This Row],[Model]])</f>
        <v>MitsubishiHG-MR13</v>
      </c>
    </row>
    <row r="65" spans="1:17" x14ac:dyDescent="0.25">
      <c r="A65" s="92" t="s">
        <v>331</v>
      </c>
      <c r="B65" s="92" t="s">
        <v>345</v>
      </c>
      <c r="C65" s="16">
        <v>43</v>
      </c>
      <c r="D65" s="92">
        <v>70</v>
      </c>
      <c r="E65" s="92">
        <v>50</v>
      </c>
      <c r="F65">
        <v>3</v>
      </c>
      <c r="G65">
        <v>14</v>
      </c>
      <c r="H65" s="92">
        <v>30</v>
      </c>
      <c r="I65">
        <v>60</v>
      </c>
      <c r="J65" s="92" t="s">
        <v>87</v>
      </c>
      <c r="K65">
        <v>7</v>
      </c>
      <c r="L65" s="92">
        <v>5.8</v>
      </c>
      <c r="M65" s="92" t="s">
        <v>87</v>
      </c>
      <c r="N65" s="92" t="s">
        <v>87</v>
      </c>
      <c r="O65" s="92">
        <v>4</v>
      </c>
      <c r="P65" s="92" t="s">
        <v>334</v>
      </c>
      <c r="Q65" s="103" t="str">
        <f>CONCATENATE(TableMotorCrossRef[[#This Row],[Manufacturer]],TableMotorCrossRef[[#This Row],[Model]])</f>
        <v>MitsubishiHG-MR23</v>
      </c>
    </row>
    <row r="66" spans="1:17" x14ac:dyDescent="0.25">
      <c r="A66" s="92" t="s">
        <v>331</v>
      </c>
      <c r="B66" s="92" t="s">
        <v>346</v>
      </c>
      <c r="C66" s="16">
        <v>43</v>
      </c>
      <c r="D66" s="92">
        <v>70</v>
      </c>
      <c r="E66" s="92">
        <v>50</v>
      </c>
      <c r="F66">
        <v>3</v>
      </c>
      <c r="G66">
        <v>14</v>
      </c>
      <c r="H66" s="92">
        <v>30</v>
      </c>
      <c r="I66">
        <v>60</v>
      </c>
      <c r="J66" s="92" t="s">
        <v>87</v>
      </c>
      <c r="K66">
        <v>7</v>
      </c>
      <c r="L66" s="92">
        <v>5.8</v>
      </c>
      <c r="M66" s="92" t="s">
        <v>87</v>
      </c>
      <c r="N66" s="92" t="s">
        <v>87</v>
      </c>
      <c r="O66" s="92">
        <v>4</v>
      </c>
      <c r="P66" s="92" t="s">
        <v>334</v>
      </c>
      <c r="Q66" s="103" t="str">
        <f>CONCATENATE(TableMotorCrossRef[[#This Row],[Manufacturer]],TableMotorCrossRef[[#This Row],[Model]])</f>
        <v>MitsubishiHG-MR43</v>
      </c>
    </row>
    <row r="67" spans="1:17" x14ac:dyDescent="0.25">
      <c r="A67" s="92" t="s">
        <v>349</v>
      </c>
      <c r="B67" t="s">
        <v>350</v>
      </c>
      <c r="C67" s="92">
        <v>3</v>
      </c>
      <c r="D67" s="92">
        <v>63</v>
      </c>
      <c r="E67" s="92">
        <v>40</v>
      </c>
      <c r="F67" s="92">
        <v>2.5</v>
      </c>
      <c r="G67" s="92">
        <v>9</v>
      </c>
      <c r="H67" s="92">
        <v>20</v>
      </c>
      <c r="I67" s="92">
        <v>55</v>
      </c>
      <c r="J67" s="92" t="s">
        <v>87</v>
      </c>
      <c r="K67" s="92">
        <v>9</v>
      </c>
      <c r="L67" s="92">
        <v>5.5</v>
      </c>
      <c r="M67" s="92" t="s">
        <v>87</v>
      </c>
      <c r="N67" s="92" t="s">
        <v>87</v>
      </c>
      <c r="O67" s="92">
        <v>4</v>
      </c>
      <c r="P67" s="92" t="s">
        <v>347</v>
      </c>
      <c r="Q67" s="103" t="str">
        <f>CONCATENATE(TableMotorCrossRef[[#This Row],[Manufacturer]],TableMotorCrossRef[[#This Row],[Model]])</f>
        <v>MoogG412-xxx</v>
      </c>
    </row>
    <row r="68" spans="1:17" x14ac:dyDescent="0.25">
      <c r="A68" s="92" t="s">
        <v>349</v>
      </c>
      <c r="B68" s="92" t="s">
        <v>348</v>
      </c>
      <c r="C68" s="92">
        <v>44</v>
      </c>
      <c r="D68" s="92">
        <v>75</v>
      </c>
      <c r="E68" s="92">
        <v>60</v>
      </c>
      <c r="F68" s="92">
        <v>2.5</v>
      </c>
      <c r="G68" s="92">
        <v>11</v>
      </c>
      <c r="H68" s="92">
        <v>23</v>
      </c>
      <c r="I68" s="92">
        <v>70</v>
      </c>
      <c r="J68" s="92" t="s">
        <v>87</v>
      </c>
      <c r="K68" s="92">
        <v>9</v>
      </c>
      <c r="L68" s="92">
        <v>5.5</v>
      </c>
      <c r="M68" s="92" t="s">
        <v>87</v>
      </c>
      <c r="N68" s="92" t="s">
        <v>87</v>
      </c>
      <c r="O68" s="92">
        <v>4</v>
      </c>
      <c r="P68" s="92" t="s">
        <v>347</v>
      </c>
      <c r="Q68" s="103" t="str">
        <f>CONCATENATE(TableMotorCrossRef[[#This Row],[Manufacturer]],TableMotorCrossRef[[#This Row],[Model]])</f>
        <v>MoogG413-xxx</v>
      </c>
    </row>
    <row r="69" spans="1:17" x14ac:dyDescent="0.25">
      <c r="A69" s="92" t="s">
        <v>446</v>
      </c>
      <c r="B69" s="92" t="s">
        <v>445</v>
      </c>
      <c r="C69" s="92">
        <v>61</v>
      </c>
      <c r="D69" s="92">
        <v>66.665999999999997</v>
      </c>
      <c r="E69" s="92">
        <v>38.1</v>
      </c>
      <c r="F69" s="92">
        <v>1.6</v>
      </c>
      <c r="G69" s="92">
        <v>6.35</v>
      </c>
      <c r="H69" s="92">
        <v>20.6</v>
      </c>
      <c r="I69" s="92">
        <v>56</v>
      </c>
      <c r="J69" s="92" t="s">
        <v>87</v>
      </c>
      <c r="K69" s="92">
        <v>5</v>
      </c>
      <c r="L69" s="92">
        <v>4.5</v>
      </c>
      <c r="M69" s="92" t="s">
        <v>87</v>
      </c>
      <c r="N69" s="92" t="s">
        <v>87</v>
      </c>
      <c r="O69" s="92">
        <v>4</v>
      </c>
      <c r="P69" s="92" t="s">
        <v>444</v>
      </c>
      <c r="Q69" s="96" t="str">
        <f>CONCATENATE(TableMotorCrossRef[[#This Row],[Manufacturer]],TableMotorCrossRef[[#This Row],[Model]])</f>
        <v>Nidec ServoKH56KM2</v>
      </c>
    </row>
    <row r="70" spans="1:17" x14ac:dyDescent="0.25">
      <c r="A70" s="92" t="s">
        <v>449</v>
      </c>
      <c r="B70" s="92" t="s">
        <v>450</v>
      </c>
      <c r="C70" s="92">
        <v>80</v>
      </c>
      <c r="D70" s="92">
        <v>46</v>
      </c>
      <c r="E70" s="92">
        <v>30</v>
      </c>
      <c r="F70" s="92">
        <v>3</v>
      </c>
      <c r="G70" s="92">
        <v>8</v>
      </c>
      <c r="H70" s="92">
        <v>25</v>
      </c>
      <c r="I70" s="92">
        <v>40</v>
      </c>
      <c r="J70" s="92" t="s">
        <v>87</v>
      </c>
      <c r="K70" s="92">
        <v>6</v>
      </c>
      <c r="L70" s="92">
        <v>4.3</v>
      </c>
      <c r="M70" s="92" t="s">
        <v>87</v>
      </c>
      <c r="N70" s="92" t="s">
        <v>87</v>
      </c>
      <c r="O70" s="92">
        <v>4</v>
      </c>
      <c r="P70" s="92" t="s">
        <v>454</v>
      </c>
      <c r="Q70" s="96" t="str">
        <f>CONCATENATE(TableMotorCrossRef[[#This Row],[Manufacturer]],TableMotorCrossRef[[#This Row],[Model]])</f>
        <v>OmronR88M-K05030</v>
      </c>
    </row>
    <row r="71" spans="1:17" x14ac:dyDescent="0.25">
      <c r="A71" s="92" t="s">
        <v>449</v>
      </c>
      <c r="B71" t="s">
        <v>451</v>
      </c>
      <c r="C71" s="16">
        <v>80</v>
      </c>
      <c r="D71">
        <v>46</v>
      </c>
      <c r="E71">
        <v>30</v>
      </c>
      <c r="F71">
        <v>3</v>
      </c>
      <c r="G71">
        <v>8</v>
      </c>
      <c r="H71">
        <v>25</v>
      </c>
      <c r="I71">
        <v>40</v>
      </c>
      <c r="J71" s="92" t="s">
        <v>87</v>
      </c>
      <c r="K71" s="92">
        <v>6</v>
      </c>
      <c r="L71">
        <v>4.3</v>
      </c>
      <c r="M71" s="92" t="s">
        <v>87</v>
      </c>
      <c r="N71" s="92" t="s">
        <v>87</v>
      </c>
      <c r="O71" s="92">
        <v>4</v>
      </c>
      <c r="P71" s="92" t="s">
        <v>454</v>
      </c>
      <c r="Q71" s="96" t="str">
        <f>CONCATENATE(TableMotorCrossRef[[#This Row],[Manufacturer]],TableMotorCrossRef[[#This Row],[Model]])</f>
        <v>OmronR88M-K10030</v>
      </c>
    </row>
    <row r="72" spans="1:17" x14ac:dyDescent="0.25">
      <c r="A72" s="92" t="s">
        <v>449</v>
      </c>
      <c r="B72" t="s">
        <v>452</v>
      </c>
      <c r="C72" s="16">
        <v>46</v>
      </c>
      <c r="D72">
        <v>70</v>
      </c>
      <c r="E72">
        <v>50</v>
      </c>
      <c r="F72">
        <v>3</v>
      </c>
      <c r="G72">
        <v>11</v>
      </c>
      <c r="H72" s="92">
        <v>30</v>
      </c>
      <c r="I72">
        <v>60</v>
      </c>
      <c r="J72" s="92" t="s">
        <v>87</v>
      </c>
      <c r="K72" s="92">
        <v>6.5</v>
      </c>
      <c r="L72">
        <v>4.5</v>
      </c>
      <c r="M72" s="92" t="s">
        <v>87</v>
      </c>
      <c r="N72" s="92" t="s">
        <v>87</v>
      </c>
      <c r="O72" s="92">
        <v>4</v>
      </c>
      <c r="P72" s="92" t="s">
        <v>454</v>
      </c>
      <c r="Q72" s="96" t="str">
        <f>CONCATENATE(TableMotorCrossRef[[#This Row],[Manufacturer]],TableMotorCrossRef[[#This Row],[Model]])</f>
        <v>OmronR88M-K20030</v>
      </c>
    </row>
    <row r="73" spans="1:17" x14ac:dyDescent="0.25">
      <c r="A73" s="92" t="s">
        <v>449</v>
      </c>
      <c r="B73" s="92" t="s">
        <v>453</v>
      </c>
      <c r="C73" s="16">
        <v>47</v>
      </c>
      <c r="D73" s="92">
        <v>70</v>
      </c>
      <c r="E73" s="92">
        <v>50</v>
      </c>
      <c r="F73" s="92">
        <v>3</v>
      </c>
      <c r="G73" s="92">
        <v>14</v>
      </c>
      <c r="H73" s="92">
        <v>30</v>
      </c>
      <c r="I73" s="92">
        <v>60</v>
      </c>
      <c r="J73" s="92" t="s">
        <v>87</v>
      </c>
      <c r="K73" s="92">
        <v>6.5</v>
      </c>
      <c r="L73" s="92">
        <v>4.5</v>
      </c>
      <c r="M73" s="92" t="s">
        <v>87</v>
      </c>
      <c r="N73" s="92" t="s">
        <v>87</v>
      </c>
      <c r="O73" s="92">
        <v>4</v>
      </c>
      <c r="P73" s="92" t="s">
        <v>454</v>
      </c>
      <c r="Q73" s="96" t="str">
        <f>CONCATENATE(TableMotorCrossRef[[#This Row],[Manufacturer]],TableMotorCrossRef[[#This Row],[Model]])</f>
        <v>OmronR88M-K40030</v>
      </c>
    </row>
    <row r="74" spans="1:17" x14ac:dyDescent="0.25">
      <c r="A74" s="92" t="s">
        <v>353</v>
      </c>
      <c r="B74" s="92" t="s">
        <v>352</v>
      </c>
      <c r="C74" s="16">
        <v>45</v>
      </c>
      <c r="D74" s="92">
        <v>45</v>
      </c>
      <c r="E74" s="92">
        <v>30</v>
      </c>
      <c r="F74" s="92">
        <v>3</v>
      </c>
      <c r="G74" s="92">
        <v>8</v>
      </c>
      <c r="H74" s="92">
        <v>25</v>
      </c>
      <c r="I74" s="92">
        <v>38</v>
      </c>
      <c r="J74" s="92" t="s">
        <v>87</v>
      </c>
      <c r="K74" s="92">
        <v>6</v>
      </c>
      <c r="L74" s="92">
        <v>3.4</v>
      </c>
      <c r="M74" s="92" t="s">
        <v>87</v>
      </c>
      <c r="N74" s="92" t="s">
        <v>87</v>
      </c>
      <c r="O74" s="92">
        <v>4</v>
      </c>
      <c r="P74" s="92" t="s">
        <v>354</v>
      </c>
      <c r="Q74" s="92" t="str">
        <f>CONCATENATE(TableMotorCrossRef[[#This Row],[Manufacturer]],TableMotorCrossRef[[#This Row],[Model]])</f>
        <v>PanasonicMSMD01</v>
      </c>
    </row>
    <row r="75" spans="1:17" x14ac:dyDescent="0.25">
      <c r="A75" s="92" t="s">
        <v>353</v>
      </c>
      <c r="B75" s="92" t="s">
        <v>355</v>
      </c>
      <c r="C75" s="16">
        <v>46</v>
      </c>
      <c r="D75" s="92">
        <v>70</v>
      </c>
      <c r="E75" s="92">
        <v>50</v>
      </c>
      <c r="F75" s="92">
        <v>3</v>
      </c>
      <c r="G75" s="92">
        <v>11</v>
      </c>
      <c r="H75" s="92">
        <v>30</v>
      </c>
      <c r="I75" s="92">
        <v>60</v>
      </c>
      <c r="J75" s="92" t="s">
        <v>87</v>
      </c>
      <c r="K75" s="92">
        <v>6.5</v>
      </c>
      <c r="L75" s="92">
        <v>4.5</v>
      </c>
      <c r="M75" s="92" t="s">
        <v>87</v>
      </c>
      <c r="N75" s="92" t="s">
        <v>87</v>
      </c>
      <c r="O75" s="92">
        <v>4</v>
      </c>
      <c r="P75" s="92" t="s">
        <v>354</v>
      </c>
      <c r="Q75" s="92" t="str">
        <f>CONCATENATE(TableMotorCrossRef[[#This Row],[Manufacturer]],TableMotorCrossRef[[#This Row],[Model]])</f>
        <v>PanasonicMSMD02</v>
      </c>
    </row>
    <row r="76" spans="1:17" x14ac:dyDescent="0.25">
      <c r="A76" s="92" t="s">
        <v>353</v>
      </c>
      <c r="B76" s="92" t="s">
        <v>356</v>
      </c>
      <c r="C76" s="16">
        <v>47</v>
      </c>
      <c r="D76" s="92">
        <v>70</v>
      </c>
      <c r="E76" s="92">
        <v>50</v>
      </c>
      <c r="F76" s="92">
        <v>3</v>
      </c>
      <c r="G76" s="92">
        <v>14</v>
      </c>
      <c r="H76" s="92">
        <v>30</v>
      </c>
      <c r="I76" s="92">
        <v>60</v>
      </c>
      <c r="J76" s="92" t="s">
        <v>87</v>
      </c>
      <c r="K76" s="92">
        <v>6.5</v>
      </c>
      <c r="L76" s="92">
        <v>4.5</v>
      </c>
      <c r="M76" s="92" t="s">
        <v>87</v>
      </c>
      <c r="N76" s="92" t="s">
        <v>87</v>
      </c>
      <c r="O76" s="92">
        <v>4</v>
      </c>
      <c r="P76" s="92" t="s">
        <v>354</v>
      </c>
      <c r="Q76" s="92" t="str">
        <f>CONCATENATE(TableMotorCrossRef[[#This Row],[Manufacturer]],TableMotorCrossRef[[#This Row],[Model]])</f>
        <v>PanasonicMSMD04</v>
      </c>
    </row>
    <row r="77" spans="1:17" x14ac:dyDescent="0.25">
      <c r="A77" s="92" t="s">
        <v>353</v>
      </c>
      <c r="B77" t="s">
        <v>351</v>
      </c>
      <c r="C77" s="16">
        <v>45</v>
      </c>
      <c r="D77">
        <v>45</v>
      </c>
      <c r="E77">
        <v>30</v>
      </c>
      <c r="F77">
        <v>3</v>
      </c>
      <c r="G77">
        <v>8</v>
      </c>
      <c r="H77">
        <v>25</v>
      </c>
      <c r="I77">
        <v>38</v>
      </c>
      <c r="J77" t="s">
        <v>87</v>
      </c>
      <c r="K77">
        <v>6</v>
      </c>
      <c r="L77">
        <v>3.4</v>
      </c>
      <c r="M77" t="s">
        <v>87</v>
      </c>
      <c r="N77" t="s">
        <v>87</v>
      </c>
      <c r="O77">
        <v>4</v>
      </c>
      <c r="P77" t="s">
        <v>354</v>
      </c>
      <c r="Q77" s="92" t="str">
        <f>CONCATENATE(TableMotorCrossRef[[#This Row],[Manufacturer]],TableMotorCrossRef[[#This Row],[Model]])</f>
        <v>PanasonicMSMD5A</v>
      </c>
    </row>
    <row r="78" spans="1:17" x14ac:dyDescent="0.25">
      <c r="A78" s="92" t="s">
        <v>359</v>
      </c>
      <c r="B78" t="s">
        <v>381</v>
      </c>
      <c r="C78" s="16">
        <v>53</v>
      </c>
      <c r="D78">
        <v>46.69</v>
      </c>
      <c r="E78">
        <v>22.02</v>
      </c>
      <c r="F78">
        <v>1.6</v>
      </c>
      <c r="G78">
        <v>6.35</v>
      </c>
      <c r="H78">
        <v>24.8</v>
      </c>
      <c r="I78">
        <v>40.9</v>
      </c>
      <c r="J78" t="s">
        <v>87</v>
      </c>
      <c r="K78">
        <v>6.52</v>
      </c>
      <c r="L78">
        <v>3.56</v>
      </c>
      <c r="M78" t="s">
        <v>87</v>
      </c>
      <c r="N78" t="s">
        <v>87</v>
      </c>
      <c r="O78">
        <v>4</v>
      </c>
      <c r="P78" s="92" t="s">
        <v>380</v>
      </c>
      <c r="Q78" s="92" t="str">
        <f>CONCATENATE(TableMotorCrossRef[[#This Row],[Manufacturer]],TableMotorCrossRef[[#This Row],[Model]])</f>
        <v>ParkerBE16x</v>
      </c>
    </row>
    <row r="79" spans="1:17" x14ac:dyDescent="0.25">
      <c r="A79" s="92" t="s">
        <v>359</v>
      </c>
      <c r="B79" t="s">
        <v>382</v>
      </c>
      <c r="C79" s="16">
        <v>54</v>
      </c>
      <c r="D79">
        <v>66.680000000000007</v>
      </c>
      <c r="E79">
        <v>38.1</v>
      </c>
      <c r="F79">
        <v>1.6</v>
      </c>
      <c r="G79">
        <v>9.51</v>
      </c>
      <c r="H79">
        <v>31.9</v>
      </c>
      <c r="I79">
        <v>57.3</v>
      </c>
      <c r="J79" t="s">
        <v>87</v>
      </c>
      <c r="K79">
        <v>9.14</v>
      </c>
      <c r="L79">
        <v>5.54</v>
      </c>
      <c r="M79" t="s">
        <v>87</v>
      </c>
      <c r="N79" t="s">
        <v>87</v>
      </c>
      <c r="O79">
        <v>4</v>
      </c>
      <c r="P79" s="92" t="s">
        <v>380</v>
      </c>
      <c r="Q79" s="92" t="str">
        <f>CONCATENATE(TableMotorCrossRef[[#This Row],[Manufacturer]],TableMotorCrossRef[[#This Row],[Model]])</f>
        <v>ParkerBE23x</v>
      </c>
    </row>
    <row r="80" spans="1:17" x14ac:dyDescent="0.25">
      <c r="A80" t="s">
        <v>359</v>
      </c>
      <c r="B80" s="92" t="s">
        <v>383</v>
      </c>
      <c r="C80" s="16">
        <v>55</v>
      </c>
      <c r="D80">
        <v>98.43</v>
      </c>
      <c r="E80">
        <v>73.03</v>
      </c>
      <c r="F80">
        <v>2.4</v>
      </c>
      <c r="G80">
        <v>12.7</v>
      </c>
      <c r="H80">
        <v>30.3</v>
      </c>
      <c r="I80">
        <v>84.9</v>
      </c>
      <c r="J80" t="s">
        <v>87</v>
      </c>
      <c r="K80">
        <v>6.95</v>
      </c>
      <c r="L80">
        <v>5.54</v>
      </c>
      <c r="M80" t="s">
        <v>87</v>
      </c>
      <c r="N80" t="s">
        <v>87</v>
      </c>
      <c r="O80">
        <v>4</v>
      </c>
      <c r="P80" s="92" t="s">
        <v>380</v>
      </c>
      <c r="Q80" s="92" t="str">
        <f>CONCATENATE(TableMotorCrossRef[[#This Row],[Manufacturer]],TableMotorCrossRef[[#This Row],[Model]])</f>
        <v>ParkerBE34x</v>
      </c>
    </row>
    <row r="81" spans="1:17" x14ac:dyDescent="0.25">
      <c r="A81" s="92" t="s">
        <v>359</v>
      </c>
      <c r="B81" t="s">
        <v>358</v>
      </c>
      <c r="C81" s="16">
        <v>48</v>
      </c>
      <c r="D81">
        <v>100</v>
      </c>
      <c r="E81">
        <v>80</v>
      </c>
      <c r="F81">
        <v>2.9</v>
      </c>
      <c r="G81">
        <v>16</v>
      </c>
      <c r="H81">
        <v>40.1</v>
      </c>
      <c r="I81">
        <v>88.8</v>
      </c>
      <c r="J81" t="s">
        <v>87</v>
      </c>
      <c r="K81">
        <v>9.9</v>
      </c>
      <c r="L81">
        <v>7</v>
      </c>
      <c r="M81" t="s">
        <v>87</v>
      </c>
      <c r="N81" t="s">
        <v>87</v>
      </c>
      <c r="O81">
        <v>4</v>
      </c>
      <c r="P81" s="92" t="s">
        <v>360</v>
      </c>
      <c r="Q81" s="92" t="str">
        <f>CONCATENATE(TableMotorCrossRef[[#This Row],[Manufacturer]],TableMotorCrossRef[[#This Row],[Model]])</f>
        <v>ParkerMPJ092x</v>
      </c>
    </row>
    <row r="82" spans="1:17" x14ac:dyDescent="0.25">
      <c r="A82" s="92" t="s">
        <v>359</v>
      </c>
      <c r="B82" t="s">
        <v>361</v>
      </c>
      <c r="C82" s="92">
        <v>5</v>
      </c>
      <c r="D82" s="92">
        <v>66.680000000000007</v>
      </c>
      <c r="E82" s="92">
        <v>38.1</v>
      </c>
      <c r="F82" s="92">
        <v>1.6</v>
      </c>
      <c r="G82" s="92">
        <v>6.35</v>
      </c>
      <c r="H82" s="92">
        <v>20.6</v>
      </c>
      <c r="I82" s="92">
        <v>57.2</v>
      </c>
      <c r="J82" s="92" t="s">
        <v>87</v>
      </c>
      <c r="K82" s="92">
        <v>11.7</v>
      </c>
      <c r="L82" s="92">
        <v>5.21</v>
      </c>
      <c r="M82" s="92" t="s">
        <v>87</v>
      </c>
      <c r="N82" s="92" t="s">
        <v>87</v>
      </c>
      <c r="O82" s="92">
        <v>4</v>
      </c>
      <c r="P82" s="92" t="s">
        <v>365</v>
      </c>
      <c r="Q82" s="92" t="str">
        <f>CONCATENATE(TableMotorCrossRef[[#This Row],[Manufacturer]],TableMotorCrossRef[[#This Row],[Model]])</f>
        <v>ParkerMPM662xxx6xxx</v>
      </c>
    </row>
    <row r="83" spans="1:17" x14ac:dyDescent="0.25">
      <c r="A83" s="92" t="s">
        <v>359</v>
      </c>
      <c r="B83" t="s">
        <v>362</v>
      </c>
      <c r="C83" s="92">
        <v>49</v>
      </c>
      <c r="D83" s="92">
        <v>80</v>
      </c>
      <c r="E83" s="92">
        <v>50</v>
      </c>
      <c r="F83" s="92">
        <v>3</v>
      </c>
      <c r="G83" s="92">
        <v>8</v>
      </c>
      <c r="H83" s="92">
        <v>30</v>
      </c>
      <c r="I83" s="92">
        <v>66</v>
      </c>
      <c r="J83" s="92" t="s">
        <v>87</v>
      </c>
      <c r="K83" s="92">
        <v>10.199999999999999</v>
      </c>
      <c r="L83" s="92">
        <v>5</v>
      </c>
      <c r="M83" s="92" t="s">
        <v>87</v>
      </c>
      <c r="N83" s="92" t="s">
        <v>87</v>
      </c>
      <c r="O83" s="92">
        <v>4</v>
      </c>
      <c r="P83" s="92" t="s">
        <v>365</v>
      </c>
      <c r="Q83" s="97" t="str">
        <f>CONCATENATE(TableMotorCrossRef[[#This Row],[Manufacturer]],TableMotorCrossRef[[#This Row],[Model]])</f>
        <v>ParkerMPM662xxx7xxx</v>
      </c>
    </row>
    <row r="84" spans="1:17" x14ac:dyDescent="0.25">
      <c r="A84" s="92" t="s">
        <v>359</v>
      </c>
      <c r="B84" t="s">
        <v>363</v>
      </c>
      <c r="C84" s="92">
        <v>5</v>
      </c>
      <c r="D84" s="92">
        <v>66.680000000000007</v>
      </c>
      <c r="E84" s="92">
        <v>38.1</v>
      </c>
      <c r="F84" s="92">
        <v>1.6</v>
      </c>
      <c r="G84" s="92">
        <v>6.35</v>
      </c>
      <c r="H84" s="92">
        <v>20.6</v>
      </c>
      <c r="I84" s="92">
        <v>57.2</v>
      </c>
      <c r="J84" s="92" t="s">
        <v>87</v>
      </c>
      <c r="K84" s="92">
        <v>11.7</v>
      </c>
      <c r="L84" s="92">
        <v>5.21</v>
      </c>
      <c r="M84" s="92" t="s">
        <v>87</v>
      </c>
      <c r="N84" s="92" t="s">
        <v>87</v>
      </c>
      <c r="O84" s="92">
        <v>4</v>
      </c>
      <c r="P84" s="92" t="s">
        <v>365</v>
      </c>
      <c r="Q84" s="92" t="str">
        <f>CONCATENATE(TableMotorCrossRef[[#This Row],[Manufacturer]],TableMotorCrossRef[[#This Row],[Model]])</f>
        <v>ParkerMPM664xxx6xxx</v>
      </c>
    </row>
    <row r="85" spans="1:17" x14ac:dyDescent="0.25">
      <c r="A85" s="92" t="s">
        <v>359</v>
      </c>
      <c r="B85" t="s">
        <v>364</v>
      </c>
      <c r="C85" s="92">
        <v>49</v>
      </c>
      <c r="D85" s="92">
        <v>80</v>
      </c>
      <c r="E85" s="92">
        <v>50</v>
      </c>
      <c r="F85" s="92">
        <v>3</v>
      </c>
      <c r="G85" s="92">
        <v>8</v>
      </c>
      <c r="H85" s="92">
        <v>30</v>
      </c>
      <c r="I85" s="92">
        <v>66</v>
      </c>
      <c r="J85" s="92" t="s">
        <v>87</v>
      </c>
      <c r="K85" s="92">
        <v>10.199999999999999</v>
      </c>
      <c r="L85" s="92">
        <v>5</v>
      </c>
      <c r="M85" s="92" t="s">
        <v>87</v>
      </c>
      <c r="N85" s="92" t="s">
        <v>87</v>
      </c>
      <c r="O85" s="92">
        <v>4</v>
      </c>
      <c r="P85" s="92" t="s">
        <v>365</v>
      </c>
      <c r="Q85" s="92" t="str">
        <f>CONCATENATE(TableMotorCrossRef[[#This Row],[Manufacturer]],TableMotorCrossRef[[#This Row],[Model]])</f>
        <v>ParkerMPM664xxx7xxx</v>
      </c>
    </row>
    <row r="86" spans="1:17" x14ac:dyDescent="0.25">
      <c r="A86" s="92" t="s">
        <v>359</v>
      </c>
      <c r="B86" t="s">
        <v>366</v>
      </c>
      <c r="C86" s="92">
        <v>50</v>
      </c>
      <c r="D86" s="92">
        <v>75.010000000000005</v>
      </c>
      <c r="E86" s="92">
        <v>60</v>
      </c>
      <c r="F86" s="92">
        <v>2.5</v>
      </c>
      <c r="G86" s="92">
        <v>11</v>
      </c>
      <c r="H86" s="92">
        <v>23</v>
      </c>
      <c r="I86" s="92">
        <v>72</v>
      </c>
      <c r="J86" s="92" t="s">
        <v>87</v>
      </c>
      <c r="K86" s="92">
        <v>11.2</v>
      </c>
      <c r="L86" s="92">
        <v>5.79</v>
      </c>
      <c r="M86" s="92" t="s">
        <v>87</v>
      </c>
      <c r="N86" s="92" t="s">
        <v>87</v>
      </c>
      <c r="O86" s="92">
        <v>4</v>
      </c>
      <c r="P86" s="92" t="s">
        <v>365</v>
      </c>
      <c r="Q86" s="92" t="str">
        <f>CONCATENATE(TableMotorCrossRef[[#This Row],[Manufacturer]],TableMotorCrossRef[[#This Row],[Model]])</f>
        <v>ParkerMPM721xxx7x1x</v>
      </c>
    </row>
    <row r="87" spans="1:17" x14ac:dyDescent="0.25">
      <c r="A87" s="92" t="s">
        <v>359</v>
      </c>
      <c r="B87" s="92" t="s">
        <v>370</v>
      </c>
      <c r="C87" s="16">
        <v>50</v>
      </c>
      <c r="D87">
        <v>75.010000000000005</v>
      </c>
      <c r="E87">
        <v>60</v>
      </c>
      <c r="F87">
        <v>2.5</v>
      </c>
      <c r="G87">
        <v>11</v>
      </c>
      <c r="H87">
        <v>23</v>
      </c>
      <c r="I87">
        <v>72</v>
      </c>
      <c r="J87" t="s">
        <v>87</v>
      </c>
      <c r="K87">
        <v>11.2</v>
      </c>
      <c r="L87">
        <v>5.79</v>
      </c>
      <c r="M87" t="s">
        <v>87</v>
      </c>
      <c r="N87" t="s">
        <v>87</v>
      </c>
      <c r="O87">
        <v>4</v>
      </c>
      <c r="P87" s="92" t="s">
        <v>365</v>
      </c>
      <c r="Q87" s="92" t="str">
        <f>CONCATENATE(TableMotorCrossRef[[#This Row],[Manufacturer]],TableMotorCrossRef[[#This Row],[Model]])</f>
        <v>ParkerMPM721xxx7x2x</v>
      </c>
    </row>
    <row r="88" spans="1:17" x14ac:dyDescent="0.25">
      <c r="A88" s="92" t="s">
        <v>359</v>
      </c>
      <c r="B88" t="s">
        <v>367</v>
      </c>
      <c r="C88" s="92">
        <v>50</v>
      </c>
      <c r="D88" s="92">
        <v>75.010000000000005</v>
      </c>
      <c r="E88" s="92">
        <v>60</v>
      </c>
      <c r="F88" s="92">
        <v>2.5</v>
      </c>
      <c r="G88" s="92">
        <v>11</v>
      </c>
      <c r="H88" s="92">
        <v>23</v>
      </c>
      <c r="I88" s="92">
        <v>72</v>
      </c>
      <c r="J88" s="92" t="s">
        <v>87</v>
      </c>
      <c r="K88" s="92">
        <v>11.2</v>
      </c>
      <c r="L88" s="92">
        <v>5.79</v>
      </c>
      <c r="M88" s="92" t="s">
        <v>87</v>
      </c>
      <c r="N88" s="92" t="s">
        <v>87</v>
      </c>
      <c r="O88" s="92">
        <v>4</v>
      </c>
      <c r="P88" s="92" t="s">
        <v>365</v>
      </c>
      <c r="Q88" s="97" t="str">
        <f>CONCATENATE(TableMotorCrossRef[[#This Row],[Manufacturer]],TableMotorCrossRef[[#This Row],[Model]])</f>
        <v>ParkerMPM722xxx7x1x</v>
      </c>
    </row>
    <row r="89" spans="1:17" x14ac:dyDescent="0.25">
      <c r="A89" s="92" t="s">
        <v>359</v>
      </c>
      <c r="B89" t="s">
        <v>371</v>
      </c>
      <c r="C89" s="92">
        <v>50</v>
      </c>
      <c r="D89" s="92">
        <v>75.010000000000005</v>
      </c>
      <c r="E89" s="92">
        <v>60</v>
      </c>
      <c r="F89" s="92">
        <v>2.5</v>
      </c>
      <c r="G89" s="92">
        <v>11</v>
      </c>
      <c r="H89" s="92">
        <v>23</v>
      </c>
      <c r="I89" s="92">
        <v>72</v>
      </c>
      <c r="J89" s="92" t="s">
        <v>87</v>
      </c>
      <c r="K89" s="92">
        <v>11.2</v>
      </c>
      <c r="L89" s="92">
        <v>5.79</v>
      </c>
      <c r="M89" s="92" t="s">
        <v>87</v>
      </c>
      <c r="N89" s="92" t="s">
        <v>87</v>
      </c>
      <c r="O89" s="92">
        <v>4</v>
      </c>
      <c r="P89" s="92" t="s">
        <v>365</v>
      </c>
      <c r="Q89" s="97" t="str">
        <f>CONCATENATE(TableMotorCrossRef[[#This Row],[Manufacturer]],TableMotorCrossRef[[#This Row],[Model]])</f>
        <v>ParkerMPM722xxx7x2x</v>
      </c>
    </row>
    <row r="90" spans="1:17" x14ac:dyDescent="0.25">
      <c r="A90" s="92" t="s">
        <v>359</v>
      </c>
      <c r="B90" t="s">
        <v>368</v>
      </c>
      <c r="C90" s="92">
        <v>50</v>
      </c>
      <c r="D90" s="92">
        <v>75.010000000000005</v>
      </c>
      <c r="E90" s="92">
        <v>60</v>
      </c>
      <c r="F90" s="92">
        <v>2.5</v>
      </c>
      <c r="G90" s="92">
        <v>11</v>
      </c>
      <c r="H90" s="92">
        <v>23</v>
      </c>
      <c r="I90" s="92">
        <v>72</v>
      </c>
      <c r="J90" s="92" t="s">
        <v>87</v>
      </c>
      <c r="K90" s="92">
        <v>11.2</v>
      </c>
      <c r="L90" s="92">
        <v>5.79</v>
      </c>
      <c r="M90" s="92" t="s">
        <v>87</v>
      </c>
      <c r="N90" s="92" t="s">
        <v>87</v>
      </c>
      <c r="O90" s="92">
        <v>4</v>
      </c>
      <c r="P90" s="92" t="s">
        <v>365</v>
      </c>
      <c r="Q90" s="97" t="str">
        <f>CONCATENATE(TableMotorCrossRef[[#This Row],[Manufacturer]],TableMotorCrossRef[[#This Row],[Model]])</f>
        <v>ParkerMPM723xxx7x1x</v>
      </c>
    </row>
    <row r="91" spans="1:17" x14ac:dyDescent="0.25">
      <c r="A91" s="92" t="s">
        <v>359</v>
      </c>
      <c r="B91" t="s">
        <v>372</v>
      </c>
      <c r="C91" s="92">
        <v>50</v>
      </c>
      <c r="D91" s="92">
        <v>75.010000000000005</v>
      </c>
      <c r="E91" s="92">
        <v>60</v>
      </c>
      <c r="F91" s="92">
        <v>2.5</v>
      </c>
      <c r="G91" s="92">
        <v>11</v>
      </c>
      <c r="H91" s="92">
        <v>23</v>
      </c>
      <c r="I91" s="92">
        <v>72</v>
      </c>
      <c r="J91" s="92" t="s">
        <v>87</v>
      </c>
      <c r="K91" s="92">
        <v>11.2</v>
      </c>
      <c r="L91" s="92">
        <v>5.79</v>
      </c>
      <c r="M91" s="92" t="s">
        <v>87</v>
      </c>
      <c r="N91" s="92" t="s">
        <v>87</v>
      </c>
      <c r="O91" s="92">
        <v>4</v>
      </c>
      <c r="P91" s="92" t="s">
        <v>365</v>
      </c>
      <c r="Q91" s="97" t="str">
        <f>CONCATENATE(TableMotorCrossRef[[#This Row],[Manufacturer]],TableMotorCrossRef[[#This Row],[Model]])</f>
        <v>ParkerMPM723xxx7x2x</v>
      </c>
    </row>
    <row r="92" spans="1:17" x14ac:dyDescent="0.25">
      <c r="A92" s="92" t="s">
        <v>359</v>
      </c>
      <c r="B92" t="s">
        <v>369</v>
      </c>
      <c r="C92" s="92">
        <v>50</v>
      </c>
      <c r="D92" s="92">
        <v>75.010000000000005</v>
      </c>
      <c r="E92" s="92">
        <v>60</v>
      </c>
      <c r="F92" s="92">
        <v>2.5</v>
      </c>
      <c r="G92" s="92">
        <v>11</v>
      </c>
      <c r="H92" s="92">
        <v>23</v>
      </c>
      <c r="I92" s="92">
        <v>72</v>
      </c>
      <c r="J92" s="92" t="s">
        <v>87</v>
      </c>
      <c r="K92" s="92">
        <v>11.2</v>
      </c>
      <c r="L92" s="92">
        <v>5.79</v>
      </c>
      <c r="M92" s="92" t="s">
        <v>87</v>
      </c>
      <c r="N92" s="92" t="s">
        <v>87</v>
      </c>
      <c r="O92" s="92">
        <v>4</v>
      </c>
      <c r="P92" s="92" t="s">
        <v>365</v>
      </c>
      <c r="Q92" s="97" t="str">
        <f>CONCATENATE(TableMotorCrossRef[[#This Row],[Manufacturer]],TableMotorCrossRef[[#This Row],[Model]])</f>
        <v>ParkerMPM724xxx7x1x</v>
      </c>
    </row>
    <row r="93" spans="1:17" x14ac:dyDescent="0.25">
      <c r="A93" s="92" t="s">
        <v>359</v>
      </c>
      <c r="B93" t="s">
        <v>373</v>
      </c>
      <c r="C93" s="16">
        <v>50</v>
      </c>
      <c r="D93">
        <v>75.010000000000005</v>
      </c>
      <c r="E93">
        <v>60</v>
      </c>
      <c r="F93">
        <v>2.5</v>
      </c>
      <c r="G93">
        <v>11</v>
      </c>
      <c r="H93">
        <v>23</v>
      </c>
      <c r="I93">
        <v>72</v>
      </c>
      <c r="J93" t="s">
        <v>87</v>
      </c>
      <c r="K93">
        <v>11.2</v>
      </c>
      <c r="L93">
        <v>5.79</v>
      </c>
      <c r="M93" t="s">
        <v>87</v>
      </c>
      <c r="N93" t="s">
        <v>87</v>
      </c>
      <c r="O93">
        <v>4</v>
      </c>
      <c r="P93" s="92" t="s">
        <v>365</v>
      </c>
      <c r="Q93" s="103" t="str">
        <f>CONCATENATE(TableMotorCrossRef[[#This Row],[Manufacturer]],TableMotorCrossRef[[#This Row],[Model]])</f>
        <v>ParkerMPM724xxx7x2x</v>
      </c>
    </row>
    <row r="94" spans="1:17" x14ac:dyDescent="0.25">
      <c r="A94" s="92" t="s">
        <v>359</v>
      </c>
      <c r="B94" t="s">
        <v>374</v>
      </c>
      <c r="C94" s="16">
        <v>51</v>
      </c>
      <c r="D94">
        <v>98.43</v>
      </c>
      <c r="E94">
        <f>AVERAGE(73.08,72.97)</f>
        <v>73.025000000000006</v>
      </c>
      <c r="F94">
        <v>1.6</v>
      </c>
      <c r="G94">
        <v>12.7</v>
      </c>
      <c r="H94">
        <v>30</v>
      </c>
      <c r="I94">
        <v>84.1</v>
      </c>
      <c r="J94" t="s">
        <v>87</v>
      </c>
      <c r="K94">
        <v>11.2</v>
      </c>
      <c r="L94">
        <v>5.66</v>
      </c>
      <c r="M94" t="s">
        <v>87</v>
      </c>
      <c r="N94" t="s">
        <v>87</v>
      </c>
      <c r="O94">
        <v>4</v>
      </c>
      <c r="P94" s="92" t="s">
        <v>365</v>
      </c>
      <c r="Q94" s="97" t="str">
        <f>CONCATENATE(TableMotorCrossRef[[#This Row],[Manufacturer]],TableMotorCrossRef[[#This Row],[Model]])</f>
        <v>ParkerMPM891xxx6xxx</v>
      </c>
    </row>
    <row r="95" spans="1:17" x14ac:dyDescent="0.25">
      <c r="A95" s="92" t="s">
        <v>359</v>
      </c>
      <c r="B95" s="92" t="s">
        <v>375</v>
      </c>
      <c r="C95" s="16">
        <v>52</v>
      </c>
      <c r="D95">
        <v>100</v>
      </c>
      <c r="E95">
        <v>80</v>
      </c>
      <c r="F95">
        <v>3</v>
      </c>
      <c r="G95">
        <v>14</v>
      </c>
      <c r="H95">
        <v>30</v>
      </c>
      <c r="I95">
        <v>89</v>
      </c>
      <c r="J95" t="s">
        <v>87</v>
      </c>
      <c r="K95">
        <v>11.2</v>
      </c>
      <c r="L95">
        <v>7</v>
      </c>
      <c r="M95" t="s">
        <v>87</v>
      </c>
      <c r="N95" t="s">
        <v>87</v>
      </c>
      <c r="O95" s="92">
        <v>4</v>
      </c>
      <c r="P95" s="92" t="s">
        <v>365</v>
      </c>
      <c r="Q95" s="97" t="str">
        <f>CONCATENATE(TableMotorCrossRef[[#This Row],[Manufacturer]],TableMotorCrossRef[[#This Row],[Model]])</f>
        <v>ParkerMPM891xxx7xxx</v>
      </c>
    </row>
    <row r="96" spans="1:17" x14ac:dyDescent="0.25">
      <c r="A96" s="92" t="s">
        <v>359</v>
      </c>
      <c r="B96" s="92" t="s">
        <v>376</v>
      </c>
      <c r="C96" s="16">
        <v>51</v>
      </c>
      <c r="D96" s="92">
        <v>98.43</v>
      </c>
      <c r="E96" s="92">
        <v>73.025000000000006</v>
      </c>
      <c r="F96" s="92">
        <v>1.6</v>
      </c>
      <c r="G96" s="92">
        <v>12.7</v>
      </c>
      <c r="H96" s="92">
        <v>30</v>
      </c>
      <c r="I96" s="92">
        <v>84.1</v>
      </c>
      <c r="J96" s="92" t="s">
        <v>87</v>
      </c>
      <c r="K96" s="92">
        <v>11.2</v>
      </c>
      <c r="L96" s="92">
        <v>5.66</v>
      </c>
      <c r="M96" s="92" t="s">
        <v>87</v>
      </c>
      <c r="N96" s="92" t="s">
        <v>87</v>
      </c>
      <c r="O96" s="92">
        <v>4</v>
      </c>
      <c r="P96" s="92" t="s">
        <v>365</v>
      </c>
      <c r="Q96" s="97" t="str">
        <f>CONCATENATE(TableMotorCrossRef[[#This Row],[Manufacturer]],TableMotorCrossRef[[#This Row],[Model]])</f>
        <v>ParkerMPM892xxx6xxx</v>
      </c>
    </row>
    <row r="97" spans="1:28" x14ac:dyDescent="0.25">
      <c r="A97" s="92" t="s">
        <v>359</v>
      </c>
      <c r="B97" s="92" t="s">
        <v>377</v>
      </c>
      <c r="C97" s="92">
        <v>52</v>
      </c>
      <c r="D97" s="92">
        <v>100</v>
      </c>
      <c r="E97" s="92">
        <v>80</v>
      </c>
      <c r="F97" s="92">
        <v>3</v>
      </c>
      <c r="G97" s="92">
        <v>14</v>
      </c>
      <c r="H97" s="92">
        <v>30</v>
      </c>
      <c r="I97" s="92">
        <v>89</v>
      </c>
      <c r="J97" s="92" t="s">
        <v>87</v>
      </c>
      <c r="K97" s="92">
        <v>11.2</v>
      </c>
      <c r="L97" s="92">
        <v>7</v>
      </c>
      <c r="M97" s="92" t="s">
        <v>87</v>
      </c>
      <c r="N97" s="92" t="s">
        <v>87</v>
      </c>
      <c r="O97" s="92">
        <v>4</v>
      </c>
      <c r="P97" s="92" t="s">
        <v>365</v>
      </c>
      <c r="Q97" s="103" t="str">
        <f>CONCATENATE(TableMotorCrossRef[[#This Row],[Manufacturer]],TableMotorCrossRef[[#This Row],[Model]])</f>
        <v>ParkerMPM892xxx7xxx</v>
      </c>
    </row>
    <row r="98" spans="1:28" x14ac:dyDescent="0.25">
      <c r="A98" s="92" t="s">
        <v>359</v>
      </c>
      <c r="B98" s="92" t="s">
        <v>378</v>
      </c>
      <c r="C98" s="92">
        <v>51</v>
      </c>
      <c r="D98" s="92">
        <v>98.43</v>
      </c>
      <c r="E98" s="92">
        <f>AVERAGE(73.08,72.97)</f>
        <v>73.025000000000006</v>
      </c>
      <c r="F98" s="92">
        <v>1.6</v>
      </c>
      <c r="G98" s="92">
        <v>12.7</v>
      </c>
      <c r="H98" s="92">
        <v>30</v>
      </c>
      <c r="I98" s="92">
        <v>84.1</v>
      </c>
      <c r="J98" s="92" t="s">
        <v>87</v>
      </c>
      <c r="K98" s="92">
        <v>11.2</v>
      </c>
      <c r="L98" s="92">
        <v>5.66</v>
      </c>
      <c r="M98" s="92" t="s">
        <v>87</v>
      </c>
      <c r="N98" s="92" t="s">
        <v>87</v>
      </c>
      <c r="O98" s="92">
        <v>4</v>
      </c>
      <c r="P98" s="92" t="s">
        <v>365</v>
      </c>
      <c r="Q98" s="103" t="str">
        <f>CONCATENATE(TableMotorCrossRef[[#This Row],[Manufacturer]],TableMotorCrossRef[[#This Row],[Model]])</f>
        <v>ParkerMPM893xxx6xxx</v>
      </c>
    </row>
    <row r="99" spans="1:28" x14ac:dyDescent="0.25">
      <c r="A99" s="92" t="s">
        <v>359</v>
      </c>
      <c r="B99" t="s">
        <v>379</v>
      </c>
      <c r="C99" s="16">
        <v>52</v>
      </c>
      <c r="D99">
        <v>100</v>
      </c>
      <c r="E99">
        <v>80</v>
      </c>
      <c r="F99">
        <v>3</v>
      </c>
      <c r="G99">
        <v>14</v>
      </c>
      <c r="H99">
        <v>30</v>
      </c>
      <c r="I99">
        <v>89</v>
      </c>
      <c r="J99" t="s">
        <v>87</v>
      </c>
      <c r="K99">
        <v>11.2</v>
      </c>
      <c r="L99">
        <v>7</v>
      </c>
      <c r="M99" t="s">
        <v>87</v>
      </c>
      <c r="N99" t="s">
        <v>87</v>
      </c>
      <c r="O99" s="92">
        <v>4</v>
      </c>
      <c r="P99" s="92" t="s">
        <v>365</v>
      </c>
      <c r="Q99" s="103" t="str">
        <f>CONCATENATE(TableMotorCrossRef[[#This Row],[Manufacturer]],TableMotorCrossRef[[#This Row],[Model]])</f>
        <v>ParkerMPM893xxx7xxx</v>
      </c>
    </row>
    <row r="100" spans="1:28" x14ac:dyDescent="0.25">
      <c r="A100" s="92" t="s">
        <v>359</v>
      </c>
      <c r="B100" s="92" t="s">
        <v>357</v>
      </c>
      <c r="C100" s="16">
        <v>48</v>
      </c>
      <c r="D100" s="92">
        <v>100</v>
      </c>
      <c r="E100" s="92">
        <v>80</v>
      </c>
      <c r="F100" s="92">
        <v>2.9</v>
      </c>
      <c r="G100" s="92">
        <v>16</v>
      </c>
      <c r="H100" s="92">
        <v>40.1</v>
      </c>
      <c r="I100" s="92">
        <v>88.8</v>
      </c>
      <c r="J100" s="92" t="s">
        <v>87</v>
      </c>
      <c r="K100" s="92">
        <v>9.9</v>
      </c>
      <c r="L100" s="92">
        <v>7</v>
      </c>
      <c r="M100" s="92" t="s">
        <v>87</v>
      </c>
      <c r="N100" s="92" t="s">
        <v>87</v>
      </c>
      <c r="O100" s="92">
        <v>4</v>
      </c>
      <c r="P100" s="92" t="s">
        <v>360</v>
      </c>
      <c r="Q100" s="103" t="str">
        <f>CONCATENATE(TableMotorCrossRef[[#This Row],[Manufacturer]],TableMotorCrossRef[[#This Row],[Model]])</f>
        <v>ParkerMPP092x</v>
      </c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</row>
    <row r="101" spans="1:28" x14ac:dyDescent="0.25">
      <c r="A101" t="s">
        <v>448</v>
      </c>
      <c r="B101" t="s">
        <v>447</v>
      </c>
      <c r="C101" s="16">
        <v>79</v>
      </c>
      <c r="D101">
        <v>100</v>
      </c>
      <c r="E101">
        <v>80</v>
      </c>
      <c r="F101">
        <v>3</v>
      </c>
      <c r="G101">
        <v>14</v>
      </c>
      <c r="H101">
        <v>30</v>
      </c>
      <c r="I101">
        <v>91.3</v>
      </c>
      <c r="J101" t="s">
        <v>87</v>
      </c>
      <c r="K101">
        <v>11</v>
      </c>
      <c r="L101">
        <v>6.5</v>
      </c>
      <c r="M101" t="s">
        <v>87</v>
      </c>
      <c r="N101" t="s">
        <v>87</v>
      </c>
      <c r="O101">
        <v>4</v>
      </c>
      <c r="P101" s="92" t="s">
        <v>455</v>
      </c>
      <c r="Q101" s="96" t="str">
        <f>CONCATENATE(TableMotorCrossRef[[#This Row],[Manufacturer]],TableMotorCrossRef[[#This Row],[Model]])</f>
        <v>ProcesiB56P</v>
      </c>
    </row>
    <row r="102" spans="1:28" x14ac:dyDescent="0.25">
      <c r="A102" t="s">
        <v>320</v>
      </c>
      <c r="B102" t="s">
        <v>321</v>
      </c>
      <c r="C102" s="16">
        <v>37</v>
      </c>
      <c r="D102">
        <v>63</v>
      </c>
      <c r="E102">
        <v>40</v>
      </c>
      <c r="F102">
        <v>2.5</v>
      </c>
      <c r="G102">
        <v>9</v>
      </c>
      <c r="H102">
        <v>20</v>
      </c>
      <c r="I102">
        <v>54</v>
      </c>
      <c r="J102" t="s">
        <v>87</v>
      </c>
      <c r="K102">
        <v>7</v>
      </c>
      <c r="L102">
        <v>5</v>
      </c>
      <c r="M102" t="s">
        <v>87</v>
      </c>
      <c r="N102" t="s">
        <v>87</v>
      </c>
      <c r="O102">
        <v>4</v>
      </c>
      <c r="P102" t="s">
        <v>322</v>
      </c>
      <c r="Q102" s="103" t="str">
        <f>CONCATENATE(TableMotorCrossRef[[#This Row],[Manufacturer]],TableMotorCrossRef[[#This Row],[Model]])</f>
        <v>RexrothMSK030</v>
      </c>
    </row>
    <row r="103" spans="1:28" x14ac:dyDescent="0.25">
      <c r="A103" s="92" t="s">
        <v>320</v>
      </c>
      <c r="B103" t="s">
        <v>323</v>
      </c>
      <c r="C103" s="16">
        <v>38</v>
      </c>
      <c r="D103">
        <v>95</v>
      </c>
      <c r="E103" s="92">
        <v>50</v>
      </c>
      <c r="F103">
        <v>2.5</v>
      </c>
      <c r="G103">
        <v>14</v>
      </c>
      <c r="H103">
        <v>30</v>
      </c>
      <c r="I103">
        <v>82</v>
      </c>
      <c r="J103" t="s">
        <v>87</v>
      </c>
      <c r="K103">
        <v>8</v>
      </c>
      <c r="L103">
        <v>6.6</v>
      </c>
      <c r="M103" t="s">
        <v>87</v>
      </c>
      <c r="N103" t="s">
        <v>87</v>
      </c>
      <c r="O103">
        <v>4</v>
      </c>
      <c r="P103" s="92" t="s">
        <v>322</v>
      </c>
      <c r="Q103" s="103" t="str">
        <f>CONCATENATE(TableMotorCrossRef[[#This Row],[Manufacturer]],TableMotorCrossRef[[#This Row],[Model]])</f>
        <v>RexrothMSK040</v>
      </c>
    </row>
    <row r="104" spans="1:28" x14ac:dyDescent="0.25">
      <c r="A104" s="92" t="s">
        <v>384</v>
      </c>
      <c r="B104" t="s">
        <v>389</v>
      </c>
      <c r="C104" s="16">
        <v>56</v>
      </c>
      <c r="D104">
        <v>100</v>
      </c>
      <c r="E104">
        <v>80</v>
      </c>
      <c r="F104">
        <v>2.7</v>
      </c>
      <c r="G104">
        <v>16</v>
      </c>
      <c r="H104">
        <v>40</v>
      </c>
      <c r="I104">
        <v>92.4</v>
      </c>
      <c r="J104" t="s">
        <v>87</v>
      </c>
      <c r="K104">
        <v>9.91</v>
      </c>
      <c r="L104">
        <v>7</v>
      </c>
      <c r="M104" t="s">
        <v>87</v>
      </c>
      <c r="N104" t="s">
        <v>87</v>
      </c>
      <c r="O104">
        <v>4</v>
      </c>
      <c r="P104" s="92" t="s">
        <v>385</v>
      </c>
      <c r="Q104" s="103" t="str">
        <f>CONCATENATE(TableMotorCrossRef[[#This Row],[Manufacturer]],TableMotorCrossRef[[#This Row],[Model]])</f>
        <v>Rockwell (Allen-Bradley)MPF-x3xx</v>
      </c>
    </row>
    <row r="105" spans="1:28" x14ac:dyDescent="0.25">
      <c r="A105" s="92" t="s">
        <v>384</v>
      </c>
      <c r="B105" s="92" t="s">
        <v>386</v>
      </c>
      <c r="C105" s="16">
        <v>57</v>
      </c>
      <c r="D105">
        <v>63</v>
      </c>
      <c r="E105">
        <v>40</v>
      </c>
      <c r="F105">
        <v>2.5</v>
      </c>
      <c r="G105">
        <v>9</v>
      </c>
      <c r="H105">
        <v>19.7</v>
      </c>
      <c r="I105">
        <v>55</v>
      </c>
      <c r="J105" t="s">
        <v>87</v>
      </c>
      <c r="K105">
        <v>9</v>
      </c>
      <c r="L105">
        <v>5.8</v>
      </c>
      <c r="M105" t="s">
        <v>87</v>
      </c>
      <c r="N105" t="s">
        <v>87</v>
      </c>
      <c r="O105">
        <v>4</v>
      </c>
      <c r="P105" s="92" t="s">
        <v>385</v>
      </c>
      <c r="Q105" s="103" t="str">
        <f>CONCATENATE(TableMotorCrossRef[[#This Row],[Manufacturer]],TableMotorCrossRef[[#This Row],[Model]])</f>
        <v>Rockwell (Allen-Bradley)MPL-A1510</v>
      </c>
    </row>
    <row r="106" spans="1:28" x14ac:dyDescent="0.25">
      <c r="A106" s="92" t="s">
        <v>384</v>
      </c>
      <c r="B106" s="92" t="s">
        <v>387</v>
      </c>
      <c r="C106" s="16">
        <v>57</v>
      </c>
      <c r="D106">
        <v>63</v>
      </c>
      <c r="E106">
        <v>40</v>
      </c>
      <c r="F106">
        <v>2.5</v>
      </c>
      <c r="G106">
        <v>9</v>
      </c>
      <c r="H106">
        <v>19.7</v>
      </c>
      <c r="I106">
        <v>55</v>
      </c>
      <c r="J106" t="s">
        <v>87</v>
      </c>
      <c r="K106">
        <v>9</v>
      </c>
      <c r="L106">
        <v>5.8</v>
      </c>
      <c r="M106" t="s">
        <v>87</v>
      </c>
      <c r="N106" t="s">
        <v>87</v>
      </c>
      <c r="O106">
        <v>4</v>
      </c>
      <c r="P106" s="92" t="s">
        <v>385</v>
      </c>
      <c r="Q106" s="96" t="str">
        <f>CONCATENATE(TableMotorCrossRef[[#This Row],[Manufacturer]],TableMotorCrossRef[[#This Row],[Model]])</f>
        <v>Rockwell (Allen-Bradley)MPL-A1520</v>
      </c>
    </row>
    <row r="107" spans="1:28" x14ac:dyDescent="0.25">
      <c r="A107" s="92" t="s">
        <v>384</v>
      </c>
      <c r="B107" t="s">
        <v>388</v>
      </c>
      <c r="C107" s="16">
        <v>57</v>
      </c>
      <c r="D107">
        <v>63</v>
      </c>
      <c r="E107">
        <v>40</v>
      </c>
      <c r="F107">
        <v>2.5</v>
      </c>
      <c r="G107">
        <v>9</v>
      </c>
      <c r="H107">
        <v>19.7</v>
      </c>
      <c r="I107">
        <v>55</v>
      </c>
      <c r="J107" t="s">
        <v>87</v>
      </c>
      <c r="K107">
        <v>9</v>
      </c>
      <c r="L107">
        <v>5.8</v>
      </c>
      <c r="M107" t="s">
        <v>87</v>
      </c>
      <c r="N107" t="s">
        <v>87</v>
      </c>
      <c r="O107">
        <v>4</v>
      </c>
      <c r="P107" s="92" t="s">
        <v>385</v>
      </c>
      <c r="Q107" s="96" t="str">
        <f>CONCATENATE(TableMotorCrossRef[[#This Row],[Manufacturer]],TableMotorCrossRef[[#This Row],[Model]])</f>
        <v>Rockwell (Allen-Bradley)MPL-A1530</v>
      </c>
    </row>
    <row r="108" spans="1:28" x14ac:dyDescent="0.25">
      <c r="A108" s="92" t="s">
        <v>384</v>
      </c>
      <c r="B108" t="s">
        <v>393</v>
      </c>
      <c r="C108" s="16">
        <v>58</v>
      </c>
      <c r="D108">
        <v>75</v>
      </c>
      <c r="E108">
        <v>60</v>
      </c>
      <c r="F108">
        <v>2.5</v>
      </c>
      <c r="G108">
        <v>11</v>
      </c>
      <c r="H108">
        <v>22.7</v>
      </c>
      <c r="I108">
        <v>70</v>
      </c>
      <c r="J108" t="s">
        <v>87</v>
      </c>
      <c r="K108">
        <v>9</v>
      </c>
      <c r="L108">
        <v>5.8</v>
      </c>
      <c r="M108" t="s">
        <v>87</v>
      </c>
      <c r="N108" t="s">
        <v>87</v>
      </c>
      <c r="O108">
        <v>4</v>
      </c>
      <c r="P108" s="92" t="s">
        <v>385</v>
      </c>
      <c r="Q108" s="96" t="str">
        <f>CONCATENATE(TableMotorCrossRef[[#This Row],[Manufacturer]],TableMotorCrossRef[[#This Row],[Model]])</f>
        <v>Rockwell (Allen-Bradley)MPL-A210</v>
      </c>
    </row>
    <row r="109" spans="1:28" x14ac:dyDescent="0.25">
      <c r="A109" s="92" t="s">
        <v>384</v>
      </c>
      <c r="B109" t="s">
        <v>394</v>
      </c>
      <c r="C109" s="16">
        <v>58</v>
      </c>
      <c r="D109">
        <v>75</v>
      </c>
      <c r="E109">
        <v>60</v>
      </c>
      <c r="F109">
        <v>2.5</v>
      </c>
      <c r="G109">
        <v>11</v>
      </c>
      <c r="H109">
        <v>22.7</v>
      </c>
      <c r="I109">
        <v>70</v>
      </c>
      <c r="J109" t="s">
        <v>87</v>
      </c>
      <c r="K109">
        <v>9</v>
      </c>
      <c r="L109">
        <v>5.8</v>
      </c>
      <c r="M109" t="s">
        <v>87</v>
      </c>
      <c r="N109" t="s">
        <v>87</v>
      </c>
      <c r="O109">
        <v>4</v>
      </c>
      <c r="P109" s="92" t="s">
        <v>385</v>
      </c>
      <c r="Q109" s="96" t="str">
        <f>CONCATENATE(TableMotorCrossRef[[#This Row],[Manufacturer]],TableMotorCrossRef[[#This Row],[Model]])</f>
        <v>Rockwell (Allen-Bradley)MPL-A220</v>
      </c>
    </row>
    <row r="110" spans="1:28" x14ac:dyDescent="0.25">
      <c r="A110" s="92" t="s">
        <v>384</v>
      </c>
      <c r="B110" t="s">
        <v>395</v>
      </c>
      <c r="C110" s="16">
        <v>58</v>
      </c>
      <c r="D110">
        <v>75</v>
      </c>
      <c r="E110">
        <v>60</v>
      </c>
      <c r="F110">
        <v>2.5</v>
      </c>
      <c r="G110">
        <v>11</v>
      </c>
      <c r="H110">
        <v>22.7</v>
      </c>
      <c r="I110">
        <v>70</v>
      </c>
      <c r="J110" t="s">
        <v>87</v>
      </c>
      <c r="K110">
        <v>9</v>
      </c>
      <c r="L110">
        <v>5.8</v>
      </c>
      <c r="M110" t="s">
        <v>87</v>
      </c>
      <c r="N110" t="s">
        <v>87</v>
      </c>
      <c r="O110">
        <v>4</v>
      </c>
      <c r="P110" t="s">
        <v>385</v>
      </c>
      <c r="Q110" s="96" t="str">
        <f>CONCATENATE(TableMotorCrossRef[[#This Row],[Manufacturer]],TableMotorCrossRef[[#This Row],[Model]])</f>
        <v>Rockwell (Allen-Bradley)MPL-A230</v>
      </c>
    </row>
    <row r="111" spans="1:28" x14ac:dyDescent="0.25">
      <c r="A111" t="s">
        <v>384</v>
      </c>
      <c r="B111" s="92" t="s">
        <v>390</v>
      </c>
      <c r="C111" s="16">
        <v>57</v>
      </c>
      <c r="D111">
        <v>63</v>
      </c>
      <c r="E111">
        <v>40</v>
      </c>
      <c r="F111">
        <v>2.5</v>
      </c>
      <c r="G111">
        <v>9</v>
      </c>
      <c r="H111">
        <v>19.7</v>
      </c>
      <c r="I111">
        <v>55</v>
      </c>
      <c r="J111" t="s">
        <v>87</v>
      </c>
      <c r="K111">
        <v>9</v>
      </c>
      <c r="L111">
        <v>5.8</v>
      </c>
      <c r="M111" t="s">
        <v>87</v>
      </c>
      <c r="N111" t="s">
        <v>87</v>
      </c>
      <c r="O111">
        <v>4</v>
      </c>
      <c r="P111" t="s">
        <v>385</v>
      </c>
      <c r="Q111" s="96" t="str">
        <f>CONCATENATE(TableMotorCrossRef[[#This Row],[Manufacturer]],TableMotorCrossRef[[#This Row],[Model]])</f>
        <v>Rockwell (Allen-Bradley)MPL-B1510</v>
      </c>
    </row>
    <row r="112" spans="1:28" x14ac:dyDescent="0.25">
      <c r="A112" t="s">
        <v>384</v>
      </c>
      <c r="B112" t="s">
        <v>391</v>
      </c>
      <c r="C112" s="16">
        <v>57</v>
      </c>
      <c r="D112">
        <v>63</v>
      </c>
      <c r="E112">
        <v>40</v>
      </c>
      <c r="F112">
        <v>2.5</v>
      </c>
      <c r="G112">
        <v>9</v>
      </c>
      <c r="H112">
        <v>19.7</v>
      </c>
      <c r="I112">
        <v>55</v>
      </c>
      <c r="J112" t="s">
        <v>87</v>
      </c>
      <c r="K112">
        <v>9</v>
      </c>
      <c r="L112">
        <v>5.8</v>
      </c>
      <c r="M112" t="s">
        <v>87</v>
      </c>
      <c r="N112" t="s">
        <v>87</v>
      </c>
      <c r="O112">
        <v>4</v>
      </c>
      <c r="P112" t="s">
        <v>385</v>
      </c>
      <c r="Q112" s="96" t="str">
        <f>CONCATENATE(TableMotorCrossRef[[#This Row],[Manufacturer]],TableMotorCrossRef[[#This Row],[Model]])</f>
        <v>Rockwell (Allen-Bradley)MPL-B1520</v>
      </c>
    </row>
    <row r="113" spans="1:17" x14ac:dyDescent="0.25">
      <c r="A113" s="92" t="s">
        <v>384</v>
      </c>
      <c r="B113" t="s">
        <v>392</v>
      </c>
      <c r="C113" s="16">
        <v>57</v>
      </c>
      <c r="D113">
        <v>63</v>
      </c>
      <c r="E113">
        <v>40</v>
      </c>
      <c r="F113">
        <v>2.5</v>
      </c>
      <c r="G113">
        <v>9</v>
      </c>
      <c r="H113">
        <v>19.7</v>
      </c>
      <c r="I113">
        <v>55</v>
      </c>
      <c r="J113" t="s">
        <v>87</v>
      </c>
      <c r="K113">
        <v>9</v>
      </c>
      <c r="L113">
        <v>5.8</v>
      </c>
      <c r="M113" t="s">
        <v>87</v>
      </c>
      <c r="N113" t="s">
        <v>87</v>
      </c>
      <c r="O113">
        <v>4</v>
      </c>
      <c r="P113" s="92" t="s">
        <v>385</v>
      </c>
      <c r="Q113" s="96" t="str">
        <f>CONCATENATE(TableMotorCrossRef[[#This Row],[Manufacturer]],TableMotorCrossRef[[#This Row],[Model]])</f>
        <v>Rockwell (Allen-Bradley)MPL-B1530</v>
      </c>
    </row>
    <row r="114" spans="1:17" x14ac:dyDescent="0.25">
      <c r="A114" t="s">
        <v>384</v>
      </c>
      <c r="B114" s="92" t="s">
        <v>396</v>
      </c>
      <c r="C114" s="16">
        <v>58</v>
      </c>
      <c r="D114">
        <v>75</v>
      </c>
      <c r="E114">
        <v>60</v>
      </c>
      <c r="F114">
        <v>2.5</v>
      </c>
      <c r="G114">
        <v>11</v>
      </c>
      <c r="H114">
        <v>22.7</v>
      </c>
      <c r="I114">
        <v>70</v>
      </c>
      <c r="J114" t="s">
        <v>87</v>
      </c>
      <c r="K114">
        <v>9</v>
      </c>
      <c r="L114">
        <v>5.8</v>
      </c>
      <c r="M114" t="s">
        <v>87</v>
      </c>
      <c r="N114" t="s">
        <v>87</v>
      </c>
      <c r="O114">
        <v>4</v>
      </c>
      <c r="P114" t="s">
        <v>385</v>
      </c>
      <c r="Q114" s="96" t="str">
        <f>CONCATENATE(TableMotorCrossRef[[#This Row],[Manufacturer]],TableMotorCrossRef[[#This Row],[Model]])</f>
        <v>Rockwell (Allen-Bradley)MPL-B210</v>
      </c>
    </row>
    <row r="115" spans="1:17" x14ac:dyDescent="0.25">
      <c r="A115" s="92" t="s">
        <v>384</v>
      </c>
      <c r="B115" s="92" t="s">
        <v>397</v>
      </c>
      <c r="C115" s="16">
        <v>58</v>
      </c>
      <c r="D115">
        <v>75</v>
      </c>
      <c r="E115">
        <v>60</v>
      </c>
      <c r="F115">
        <v>2.5</v>
      </c>
      <c r="G115">
        <v>11</v>
      </c>
      <c r="H115">
        <v>22.7</v>
      </c>
      <c r="I115">
        <v>70</v>
      </c>
      <c r="J115" t="s">
        <v>87</v>
      </c>
      <c r="K115">
        <v>9</v>
      </c>
      <c r="L115">
        <v>5.8</v>
      </c>
      <c r="M115" t="s">
        <v>87</v>
      </c>
      <c r="N115" t="s">
        <v>87</v>
      </c>
      <c r="O115">
        <v>4</v>
      </c>
      <c r="P115" t="s">
        <v>385</v>
      </c>
      <c r="Q115" s="96" t="str">
        <f>CONCATENATE(TableMotorCrossRef[[#This Row],[Manufacturer]],TableMotorCrossRef[[#This Row],[Model]])</f>
        <v>Rockwell (Allen-Bradley)MPL-B220</v>
      </c>
    </row>
    <row r="116" spans="1:17" x14ac:dyDescent="0.25">
      <c r="A116" t="s">
        <v>384</v>
      </c>
      <c r="B116" t="s">
        <v>398</v>
      </c>
      <c r="C116" s="16">
        <v>58</v>
      </c>
      <c r="D116">
        <v>75</v>
      </c>
      <c r="E116">
        <v>60</v>
      </c>
      <c r="F116">
        <v>2.5</v>
      </c>
      <c r="G116">
        <v>11</v>
      </c>
      <c r="H116">
        <v>22.7</v>
      </c>
      <c r="I116">
        <v>70</v>
      </c>
      <c r="J116" t="s">
        <v>87</v>
      </c>
      <c r="K116">
        <v>9</v>
      </c>
      <c r="L116">
        <v>5.8</v>
      </c>
      <c r="M116" t="s">
        <v>87</v>
      </c>
      <c r="N116" t="s">
        <v>87</v>
      </c>
      <c r="O116">
        <v>4</v>
      </c>
      <c r="P116" t="s">
        <v>385</v>
      </c>
      <c r="Q116" s="96" t="str">
        <f>CONCATENATE(TableMotorCrossRef[[#This Row],[Manufacturer]],TableMotorCrossRef[[#This Row],[Model]])</f>
        <v>Rockwell (Allen-Bradley)MPL-B230</v>
      </c>
    </row>
    <row r="117" spans="1:17" x14ac:dyDescent="0.25">
      <c r="A117" s="92" t="s">
        <v>384</v>
      </c>
      <c r="B117" t="s">
        <v>400</v>
      </c>
      <c r="C117" s="16">
        <v>42</v>
      </c>
      <c r="D117">
        <v>46</v>
      </c>
      <c r="E117">
        <v>30</v>
      </c>
      <c r="F117">
        <v>2.5</v>
      </c>
      <c r="G117">
        <v>8</v>
      </c>
      <c r="H117">
        <v>25</v>
      </c>
      <c r="I117">
        <v>40</v>
      </c>
      <c r="J117" t="s">
        <v>87</v>
      </c>
      <c r="K117">
        <v>5</v>
      </c>
      <c r="L117">
        <v>4.5</v>
      </c>
      <c r="M117" t="s">
        <v>87</v>
      </c>
      <c r="N117" t="s">
        <v>87</v>
      </c>
      <c r="O117">
        <v>4</v>
      </c>
      <c r="P117" s="92" t="s">
        <v>385</v>
      </c>
      <c r="Q117" s="96" t="str">
        <f>CONCATENATE(TableMotorCrossRef[[#This Row],[Manufacturer]],TableMotorCrossRef[[#This Row],[Model]])</f>
        <v>Rockwell (Allen-Bradley)TL-A1x0xx-Bx3xAA (Metric)</v>
      </c>
    </row>
    <row r="118" spans="1:17" x14ac:dyDescent="0.25">
      <c r="A118" s="92" t="s">
        <v>384</v>
      </c>
      <c r="B118" s="92" t="s">
        <v>402</v>
      </c>
      <c r="C118" s="92">
        <v>59</v>
      </c>
      <c r="D118" s="92">
        <v>70</v>
      </c>
      <c r="E118" s="92">
        <v>50</v>
      </c>
      <c r="F118" s="92">
        <v>3</v>
      </c>
      <c r="G118" s="92">
        <v>12</v>
      </c>
      <c r="H118" s="92">
        <v>30</v>
      </c>
      <c r="I118" s="92">
        <v>60</v>
      </c>
      <c r="J118" s="92" t="s">
        <v>87</v>
      </c>
      <c r="K118" s="92">
        <v>6</v>
      </c>
      <c r="L118" s="92">
        <v>5.5</v>
      </c>
      <c r="M118" s="92" t="s">
        <v>87</v>
      </c>
      <c r="N118" s="92" t="s">
        <v>87</v>
      </c>
      <c r="O118" s="92">
        <v>4</v>
      </c>
      <c r="P118" s="92" t="s">
        <v>385</v>
      </c>
      <c r="Q118" s="96" t="str">
        <f>CONCATENATE(TableMotorCrossRef[[#This Row],[Manufacturer]],TableMotorCrossRef[[#This Row],[Model]])</f>
        <v>Rockwell (Allen-Bradley)TL-A220xx-Bx3xAA (Metric)</v>
      </c>
    </row>
    <row r="119" spans="1:17" x14ac:dyDescent="0.25">
      <c r="A119" t="s">
        <v>384</v>
      </c>
      <c r="B119" t="s">
        <v>404</v>
      </c>
      <c r="C119" s="16">
        <v>59</v>
      </c>
      <c r="D119">
        <v>70</v>
      </c>
      <c r="E119">
        <v>50</v>
      </c>
      <c r="F119">
        <v>3</v>
      </c>
      <c r="G119">
        <v>12</v>
      </c>
      <c r="H119">
        <v>30</v>
      </c>
      <c r="I119">
        <v>60</v>
      </c>
      <c r="J119" t="s">
        <v>87</v>
      </c>
      <c r="K119">
        <v>6</v>
      </c>
      <c r="L119">
        <v>5.5</v>
      </c>
      <c r="M119" t="s">
        <v>87</v>
      </c>
      <c r="N119" t="s">
        <v>87</v>
      </c>
      <c r="O119">
        <v>4</v>
      </c>
      <c r="P119" t="s">
        <v>385</v>
      </c>
      <c r="Q119" s="96" t="str">
        <f>CONCATENATE(TableMotorCrossRef[[#This Row],[Manufacturer]],TableMotorCrossRef[[#This Row],[Model]])</f>
        <v>Rockwell (Allen-Bradley)TL-A230xx-Bx3xAA (Metric)</v>
      </c>
    </row>
    <row r="120" spans="1:17" x14ac:dyDescent="0.25">
      <c r="A120" t="s">
        <v>384</v>
      </c>
      <c r="B120" t="s">
        <v>399</v>
      </c>
      <c r="C120" s="16">
        <v>42</v>
      </c>
      <c r="D120">
        <v>46</v>
      </c>
      <c r="E120">
        <v>30</v>
      </c>
      <c r="F120">
        <v>2.5</v>
      </c>
      <c r="G120">
        <v>8</v>
      </c>
      <c r="H120">
        <v>25</v>
      </c>
      <c r="I120">
        <v>40</v>
      </c>
      <c r="J120" t="s">
        <v>87</v>
      </c>
      <c r="K120">
        <v>5</v>
      </c>
      <c r="L120">
        <v>4.5</v>
      </c>
      <c r="M120" t="s">
        <v>87</v>
      </c>
      <c r="N120" t="s">
        <v>87</v>
      </c>
      <c r="O120">
        <v>4</v>
      </c>
      <c r="P120" s="92" t="s">
        <v>385</v>
      </c>
      <c r="Q120" s="96" t="str">
        <f>CONCATENATE(TableMotorCrossRef[[#This Row],[Manufacturer]],TableMotorCrossRef[[#This Row],[Model]])</f>
        <v>Rockwell (Allen-Bradley)TLY-A1x0xx-xx6-xAA (Metric)</v>
      </c>
    </row>
    <row r="121" spans="1:17" x14ac:dyDescent="0.25">
      <c r="A121" t="s">
        <v>384</v>
      </c>
      <c r="B121" t="s">
        <v>405</v>
      </c>
      <c r="C121" s="16">
        <v>60</v>
      </c>
      <c r="D121">
        <v>66.7</v>
      </c>
      <c r="E121">
        <v>38.1</v>
      </c>
      <c r="F121">
        <v>1.5</v>
      </c>
      <c r="G121">
        <v>12.7</v>
      </c>
      <c r="H121">
        <v>38.1</v>
      </c>
      <c r="I121">
        <v>60</v>
      </c>
      <c r="J121" t="s">
        <v>87</v>
      </c>
      <c r="K121">
        <v>6</v>
      </c>
      <c r="L121">
        <v>5.5</v>
      </c>
      <c r="M121" t="s">
        <v>87</v>
      </c>
      <c r="N121" t="s">
        <v>87</v>
      </c>
      <c r="O121">
        <v>4</v>
      </c>
      <c r="P121" s="92" t="s">
        <v>385</v>
      </c>
      <c r="Q121" s="96" t="str">
        <f>CONCATENATE(TableMotorCrossRef[[#This Row],[Manufacturer]],TableMotorCrossRef[[#This Row],[Model]])</f>
        <v>Rockwell (Allen-Bradley)TLY-A220xx-Hx6xAN (NEMA)</v>
      </c>
    </row>
    <row r="122" spans="1:17" x14ac:dyDescent="0.25">
      <c r="A122" s="92" t="s">
        <v>384</v>
      </c>
      <c r="B122" t="s">
        <v>401</v>
      </c>
      <c r="C122" s="16">
        <v>59</v>
      </c>
      <c r="D122">
        <v>70</v>
      </c>
      <c r="E122">
        <v>50</v>
      </c>
      <c r="F122">
        <v>3</v>
      </c>
      <c r="G122">
        <v>12</v>
      </c>
      <c r="H122">
        <v>30</v>
      </c>
      <c r="I122">
        <v>60</v>
      </c>
      <c r="J122" t="s">
        <v>87</v>
      </c>
      <c r="K122">
        <v>6</v>
      </c>
      <c r="L122">
        <v>5.5</v>
      </c>
      <c r="M122" t="s">
        <v>87</v>
      </c>
      <c r="N122" t="s">
        <v>87</v>
      </c>
      <c r="O122">
        <v>4</v>
      </c>
      <c r="P122" t="s">
        <v>385</v>
      </c>
      <c r="Q122" s="96" t="str">
        <f>CONCATENATE(TableMotorCrossRef[[#This Row],[Manufacturer]],TableMotorCrossRef[[#This Row],[Model]])</f>
        <v>Rockwell (Allen-Bradley)TLY-A220xx-xx6-xAA (Metric)</v>
      </c>
    </row>
    <row r="123" spans="1:17" x14ac:dyDescent="0.25">
      <c r="A123" s="92" t="s">
        <v>384</v>
      </c>
      <c r="B123" s="92" t="s">
        <v>406</v>
      </c>
      <c r="C123" s="92">
        <v>60</v>
      </c>
      <c r="D123" s="92">
        <v>66.7</v>
      </c>
      <c r="E123" s="92">
        <v>38.1</v>
      </c>
      <c r="F123" s="92">
        <v>1.5</v>
      </c>
      <c r="G123" s="92">
        <v>12.7</v>
      </c>
      <c r="H123" s="92">
        <v>38.1</v>
      </c>
      <c r="I123" s="92">
        <v>60</v>
      </c>
      <c r="J123" s="92" t="s">
        <v>87</v>
      </c>
      <c r="K123" s="92">
        <v>6</v>
      </c>
      <c r="L123" s="92">
        <v>5.5</v>
      </c>
      <c r="M123" s="92" t="s">
        <v>87</v>
      </c>
      <c r="N123" s="92" t="s">
        <v>87</v>
      </c>
      <c r="O123" s="92">
        <v>4</v>
      </c>
      <c r="P123" s="92" t="s">
        <v>385</v>
      </c>
      <c r="Q123" s="96" t="str">
        <f>CONCATENATE(TableMotorCrossRef[[#This Row],[Manufacturer]],TableMotorCrossRef[[#This Row],[Model]])</f>
        <v>Rockwell (Allen-Bradley)TLY-A230xx-Hx6xAN (NEMA)</v>
      </c>
    </row>
    <row r="124" spans="1:17" x14ac:dyDescent="0.25">
      <c r="A124" s="92" t="s">
        <v>384</v>
      </c>
      <c r="B124" s="92" t="s">
        <v>403</v>
      </c>
      <c r="C124" s="16">
        <v>59</v>
      </c>
      <c r="D124">
        <v>70</v>
      </c>
      <c r="E124">
        <v>50</v>
      </c>
      <c r="F124">
        <v>3</v>
      </c>
      <c r="G124">
        <v>12</v>
      </c>
      <c r="H124">
        <v>30</v>
      </c>
      <c r="I124">
        <v>60</v>
      </c>
      <c r="J124" t="s">
        <v>87</v>
      </c>
      <c r="K124">
        <v>6</v>
      </c>
      <c r="L124">
        <v>5.5</v>
      </c>
      <c r="M124" t="s">
        <v>87</v>
      </c>
      <c r="N124" t="s">
        <v>87</v>
      </c>
      <c r="O124">
        <v>4</v>
      </c>
      <c r="P124" s="92" t="s">
        <v>385</v>
      </c>
      <c r="Q124" s="96" t="str">
        <f>CONCATENATE(TableMotorCrossRef[[#This Row],[Manufacturer]],TableMotorCrossRef[[#This Row],[Model]])</f>
        <v>Rockwell (Allen-Bradley)TLY-A230xx-xx6-xAA (Metric)</v>
      </c>
    </row>
    <row r="125" spans="1:17" x14ac:dyDescent="0.25">
      <c r="A125" t="s">
        <v>407</v>
      </c>
      <c r="B125" t="s">
        <v>408</v>
      </c>
      <c r="C125" s="16">
        <v>61</v>
      </c>
      <c r="D125">
        <v>66.665999999999997</v>
      </c>
      <c r="E125">
        <v>38.1</v>
      </c>
      <c r="F125">
        <v>1.5</v>
      </c>
      <c r="G125">
        <v>6.35</v>
      </c>
      <c r="H125">
        <v>20.6</v>
      </c>
      <c r="I125">
        <v>56</v>
      </c>
      <c r="J125" t="s">
        <v>87</v>
      </c>
      <c r="K125">
        <v>5</v>
      </c>
      <c r="L125">
        <v>4.5</v>
      </c>
      <c r="M125" t="s">
        <v>87</v>
      </c>
      <c r="N125" t="s">
        <v>87</v>
      </c>
      <c r="O125">
        <v>4</v>
      </c>
      <c r="P125" t="s">
        <v>409</v>
      </c>
      <c r="Q125" s="96" t="str">
        <f>CONCATENATE(TableMotorCrossRef[[#This Row],[Manufacturer]],TableMotorCrossRef[[#This Row],[Model]])</f>
        <v>Sanyo Denki103H71xx-xx</v>
      </c>
    </row>
    <row r="126" spans="1:17" x14ac:dyDescent="0.25">
      <c r="A126" t="s">
        <v>407</v>
      </c>
      <c r="B126" t="s">
        <v>411</v>
      </c>
      <c r="C126" s="16">
        <v>62</v>
      </c>
      <c r="D126">
        <v>46</v>
      </c>
      <c r="E126">
        <v>30</v>
      </c>
      <c r="F126">
        <v>2.5</v>
      </c>
      <c r="G126">
        <v>6</v>
      </c>
      <c r="H126">
        <v>25</v>
      </c>
      <c r="I126">
        <v>40</v>
      </c>
      <c r="J126" t="s">
        <v>87</v>
      </c>
      <c r="K126">
        <v>5</v>
      </c>
      <c r="L126">
        <v>4.5</v>
      </c>
      <c r="M126" t="s">
        <v>87</v>
      </c>
      <c r="N126" t="s">
        <v>87</v>
      </c>
      <c r="O126">
        <v>4</v>
      </c>
      <c r="P126" s="92" t="s">
        <v>410</v>
      </c>
      <c r="Q126" s="96" t="str">
        <f>CONCATENATE(TableMotorCrossRef[[#This Row],[Manufacturer]],TableMotorCrossRef[[#This Row],[Model]])</f>
        <v>Sanyo DenkiQ1AA04003xxx</v>
      </c>
    </row>
    <row r="127" spans="1:17" x14ac:dyDescent="0.25">
      <c r="A127" t="s">
        <v>407</v>
      </c>
      <c r="B127" t="s">
        <v>412</v>
      </c>
      <c r="C127" s="16">
        <v>63</v>
      </c>
      <c r="D127">
        <v>70</v>
      </c>
      <c r="E127">
        <v>50</v>
      </c>
      <c r="F127">
        <v>3</v>
      </c>
      <c r="G127">
        <v>14</v>
      </c>
      <c r="H127">
        <v>30</v>
      </c>
      <c r="I127">
        <v>60</v>
      </c>
      <c r="J127" t="s">
        <v>87</v>
      </c>
      <c r="K127">
        <v>6</v>
      </c>
      <c r="L127">
        <v>5.5</v>
      </c>
      <c r="M127" t="s">
        <v>87</v>
      </c>
      <c r="N127" t="s">
        <v>87</v>
      </c>
      <c r="O127">
        <v>4</v>
      </c>
      <c r="P127" t="s">
        <v>410</v>
      </c>
      <c r="Q127" s="96" t="str">
        <f>CONCATENATE(TableMotorCrossRef[[#This Row],[Manufacturer]],TableMotorCrossRef[[#This Row],[Model]])</f>
        <v>Sanyo DenkiQ1AA06020xxx</v>
      </c>
    </row>
    <row r="128" spans="1:17" x14ac:dyDescent="0.25">
      <c r="A128" t="s">
        <v>407</v>
      </c>
      <c r="B128" t="s">
        <v>413</v>
      </c>
      <c r="C128" s="92">
        <v>64</v>
      </c>
      <c r="D128" s="92">
        <v>90</v>
      </c>
      <c r="E128" s="92">
        <v>70</v>
      </c>
      <c r="F128" s="92">
        <v>3</v>
      </c>
      <c r="G128" s="92">
        <v>16</v>
      </c>
      <c r="H128" s="92">
        <v>40</v>
      </c>
      <c r="I128" s="92">
        <v>76</v>
      </c>
      <c r="J128" s="92" t="s">
        <v>87</v>
      </c>
      <c r="K128" s="92">
        <v>8</v>
      </c>
      <c r="L128" s="92">
        <v>5.5</v>
      </c>
      <c r="M128" s="92" t="s">
        <v>87</v>
      </c>
      <c r="N128" s="92" t="s">
        <v>87</v>
      </c>
      <c r="O128" s="92">
        <v>4</v>
      </c>
      <c r="P128" s="92" t="s">
        <v>410</v>
      </c>
      <c r="Q128" s="96" t="str">
        <f>CONCATENATE(TableMotorCrossRef[[#This Row],[Manufacturer]],TableMotorCrossRef[[#This Row],[Model]])</f>
        <v>Sanyo DenkiQ1AA07075xxx</v>
      </c>
    </row>
    <row r="129" spans="1:17" x14ac:dyDescent="0.25">
      <c r="A129" s="92" t="s">
        <v>407</v>
      </c>
      <c r="B129" t="s">
        <v>414</v>
      </c>
      <c r="C129" s="16">
        <v>66</v>
      </c>
      <c r="D129">
        <v>48</v>
      </c>
      <c r="E129">
        <v>34</v>
      </c>
      <c r="F129">
        <v>2</v>
      </c>
      <c r="G129">
        <v>7</v>
      </c>
      <c r="H129">
        <v>24</v>
      </c>
      <c r="I129">
        <v>42</v>
      </c>
      <c r="J129" t="s">
        <v>87</v>
      </c>
      <c r="K129">
        <v>5</v>
      </c>
      <c r="L129">
        <v>3.5</v>
      </c>
      <c r="M129" t="s">
        <v>87</v>
      </c>
      <c r="N129" t="s">
        <v>87</v>
      </c>
      <c r="O129">
        <v>4</v>
      </c>
      <c r="P129" s="92" t="s">
        <v>410</v>
      </c>
      <c r="Q129" s="96" t="str">
        <f>CONCATENATE(TableMotorCrossRef[[#This Row],[Manufacturer]],TableMotorCrossRef[[#This Row],[Model]])</f>
        <v>Sanyo DenkiQ2AA04006xxx</v>
      </c>
    </row>
    <row r="130" spans="1:17" x14ac:dyDescent="0.25">
      <c r="A130" s="92" t="s">
        <v>407</v>
      </c>
      <c r="B130" t="s">
        <v>415</v>
      </c>
      <c r="C130" s="16">
        <v>66</v>
      </c>
      <c r="D130">
        <v>48</v>
      </c>
      <c r="E130">
        <v>34</v>
      </c>
      <c r="F130">
        <v>2</v>
      </c>
      <c r="G130">
        <v>7</v>
      </c>
      <c r="H130">
        <v>24</v>
      </c>
      <c r="I130">
        <v>42</v>
      </c>
      <c r="J130" t="s">
        <v>87</v>
      </c>
      <c r="K130">
        <v>5</v>
      </c>
      <c r="L130">
        <v>3.5</v>
      </c>
      <c r="M130" t="s">
        <v>87</v>
      </c>
      <c r="N130" t="s">
        <v>87</v>
      </c>
      <c r="O130">
        <v>4</v>
      </c>
      <c r="P130" s="92" t="s">
        <v>410</v>
      </c>
      <c r="Q130" s="96" t="str">
        <f>CONCATENATE(TableMotorCrossRef[[#This Row],[Manufacturer]],TableMotorCrossRef[[#This Row],[Model]])</f>
        <v>Sanyo DenkiQ2AA04010xxx</v>
      </c>
    </row>
    <row r="131" spans="1:17" x14ac:dyDescent="0.25">
      <c r="A131" t="s">
        <v>407</v>
      </c>
      <c r="B131" s="97" t="s">
        <v>416</v>
      </c>
      <c r="C131" s="16">
        <v>67</v>
      </c>
      <c r="D131">
        <v>60</v>
      </c>
      <c r="E131">
        <v>50</v>
      </c>
      <c r="F131">
        <v>2.5</v>
      </c>
      <c r="G131">
        <v>8</v>
      </c>
      <c r="H131">
        <v>24</v>
      </c>
      <c r="I131">
        <v>54</v>
      </c>
      <c r="J131" t="s">
        <v>87</v>
      </c>
      <c r="K131">
        <v>5</v>
      </c>
      <c r="L131">
        <v>4.5</v>
      </c>
      <c r="M131" t="s">
        <v>87</v>
      </c>
      <c r="N131" t="s">
        <v>87</v>
      </c>
      <c r="O131">
        <v>4</v>
      </c>
      <c r="P131" t="s">
        <v>410</v>
      </c>
      <c r="Q131" s="96" t="str">
        <f>CONCATENATE(TableMotorCrossRef[[#This Row],[Manufacturer]],TableMotorCrossRef[[#This Row],[Model]])</f>
        <v>Sanyo DenkiQ2AA05005xxx</v>
      </c>
    </row>
    <row r="132" spans="1:17" x14ac:dyDescent="0.25">
      <c r="A132" t="s">
        <v>407</v>
      </c>
      <c r="B132" s="97" t="s">
        <v>417</v>
      </c>
      <c r="C132" s="16">
        <v>68</v>
      </c>
      <c r="D132">
        <v>90</v>
      </c>
      <c r="E132">
        <v>70</v>
      </c>
      <c r="F132">
        <v>3</v>
      </c>
      <c r="G132">
        <v>14</v>
      </c>
      <c r="H132">
        <v>30</v>
      </c>
      <c r="I132">
        <v>76</v>
      </c>
      <c r="J132" t="s">
        <v>87</v>
      </c>
      <c r="K132">
        <v>8</v>
      </c>
      <c r="L132">
        <v>5.5</v>
      </c>
      <c r="M132" t="s">
        <v>87</v>
      </c>
      <c r="N132" t="s">
        <v>87</v>
      </c>
      <c r="O132">
        <v>4</v>
      </c>
      <c r="P132" t="s">
        <v>410</v>
      </c>
      <c r="Q132" s="96" t="str">
        <f>CONCATENATE(TableMotorCrossRef[[#This Row],[Manufacturer]],TableMotorCrossRef[[#This Row],[Model]])</f>
        <v>Sanyo DenkiQ2AA07xxxxxx</v>
      </c>
    </row>
    <row r="133" spans="1:17" x14ac:dyDescent="0.25">
      <c r="A133" t="s">
        <v>407</v>
      </c>
      <c r="B133" s="97" t="s">
        <v>418</v>
      </c>
      <c r="C133" s="16">
        <v>69</v>
      </c>
      <c r="D133">
        <v>100</v>
      </c>
      <c r="E133">
        <v>80</v>
      </c>
      <c r="F133">
        <v>3</v>
      </c>
      <c r="G133">
        <v>16</v>
      </c>
      <c r="H133">
        <v>35</v>
      </c>
      <c r="I133">
        <v>86</v>
      </c>
      <c r="J133" t="s">
        <v>87</v>
      </c>
      <c r="K133">
        <v>8</v>
      </c>
      <c r="L133">
        <v>6.6</v>
      </c>
      <c r="M133" s="97" t="s">
        <v>87</v>
      </c>
      <c r="N133" s="97" t="s">
        <v>87</v>
      </c>
      <c r="O133" s="97">
        <v>4</v>
      </c>
      <c r="P133" t="s">
        <v>410</v>
      </c>
      <c r="Q133" s="96" t="str">
        <f>CONCATENATE(TableMotorCrossRef[[#This Row],[Manufacturer]],TableMotorCrossRef[[#This Row],[Model]])</f>
        <v>Sanyo DenkiQ2AA08xxxxxx</v>
      </c>
    </row>
    <row r="134" spans="1:17" x14ac:dyDescent="0.25">
      <c r="A134" s="97" t="s">
        <v>407</v>
      </c>
      <c r="B134" s="97" t="s">
        <v>419</v>
      </c>
      <c r="C134" s="16">
        <v>70</v>
      </c>
      <c r="D134">
        <v>98.429000000000002</v>
      </c>
      <c r="E134">
        <v>73.025000000000006</v>
      </c>
      <c r="F134">
        <v>1.5</v>
      </c>
      <c r="G134">
        <v>14</v>
      </c>
      <c r="H134">
        <v>30</v>
      </c>
      <c r="I134">
        <v>85.5</v>
      </c>
      <c r="J134" t="s">
        <v>87</v>
      </c>
      <c r="K134">
        <v>8</v>
      </c>
      <c r="L134">
        <v>5.6</v>
      </c>
      <c r="M134" s="97" t="s">
        <v>87</v>
      </c>
      <c r="N134" s="97" t="s">
        <v>87</v>
      </c>
      <c r="O134" s="97">
        <v>4</v>
      </c>
      <c r="P134" t="s">
        <v>409</v>
      </c>
      <c r="Q134" s="96" t="str">
        <f>CONCATENATE(TableMotorCrossRef[[#This Row],[Manufacturer]],TableMotorCrossRef[[#This Row],[Model]])</f>
        <v>Sanyo DenkiSM286xx-xx</v>
      </c>
    </row>
    <row r="135" spans="1:17" x14ac:dyDescent="0.25">
      <c r="A135" s="97" t="s">
        <v>420</v>
      </c>
      <c r="B135" s="97" t="s">
        <v>421</v>
      </c>
      <c r="C135" s="16">
        <v>71</v>
      </c>
      <c r="D135">
        <v>100</v>
      </c>
      <c r="E135">
        <v>80</v>
      </c>
      <c r="F135">
        <v>3</v>
      </c>
      <c r="G135">
        <v>14</v>
      </c>
      <c r="H135">
        <v>30</v>
      </c>
      <c r="I135">
        <v>82</v>
      </c>
      <c r="J135" t="s">
        <v>87</v>
      </c>
      <c r="K135">
        <v>10.5</v>
      </c>
      <c r="L135">
        <v>6.6</v>
      </c>
      <c r="M135" t="s">
        <v>87</v>
      </c>
      <c r="N135" t="s">
        <v>87</v>
      </c>
      <c r="O135">
        <v>4</v>
      </c>
      <c r="P135" s="97" t="s">
        <v>422</v>
      </c>
      <c r="Q135" s="96" t="str">
        <f>CONCATENATE(TableMotorCrossRef[[#This Row],[Manufacturer]],TableMotorCrossRef[[#This Row],[Model]])</f>
        <v>SEMHDM82x</v>
      </c>
    </row>
    <row r="136" spans="1:17" x14ac:dyDescent="0.25">
      <c r="A136" s="97" t="s">
        <v>423</v>
      </c>
      <c r="B136" s="97" t="s">
        <v>424</v>
      </c>
      <c r="C136" s="16">
        <v>72</v>
      </c>
      <c r="D136">
        <v>63</v>
      </c>
      <c r="E136">
        <v>40</v>
      </c>
      <c r="F136">
        <v>2.5</v>
      </c>
      <c r="G136">
        <v>9</v>
      </c>
      <c r="H136">
        <v>20</v>
      </c>
      <c r="I136">
        <v>55</v>
      </c>
      <c r="J136" t="s">
        <v>87</v>
      </c>
      <c r="K136">
        <v>10</v>
      </c>
      <c r="L136">
        <v>5.4</v>
      </c>
      <c r="M136" t="s">
        <v>87</v>
      </c>
      <c r="N136" t="s">
        <v>87</v>
      </c>
      <c r="O136">
        <v>4</v>
      </c>
      <c r="P136" s="97" t="s">
        <v>425</v>
      </c>
      <c r="Q136" s="96" t="str">
        <f>CONCATENATE(TableMotorCrossRef[[#This Row],[Manufacturer]],TableMotorCrossRef[[#This Row],[Model]])</f>
        <v>Siemens1FK702x</v>
      </c>
    </row>
    <row r="137" spans="1:17" x14ac:dyDescent="0.25">
      <c r="A137" t="s">
        <v>423</v>
      </c>
      <c r="B137" s="103" t="s">
        <v>426</v>
      </c>
      <c r="C137" s="16">
        <v>73</v>
      </c>
      <c r="D137">
        <v>75</v>
      </c>
      <c r="E137">
        <v>60</v>
      </c>
      <c r="F137">
        <v>3</v>
      </c>
      <c r="G137">
        <v>14</v>
      </c>
      <c r="H137">
        <v>30</v>
      </c>
      <c r="I137">
        <v>72</v>
      </c>
      <c r="J137" t="s">
        <v>87</v>
      </c>
      <c r="K137">
        <v>8</v>
      </c>
      <c r="L137">
        <v>6.5</v>
      </c>
      <c r="M137" t="s">
        <v>87</v>
      </c>
      <c r="N137" t="s">
        <v>87</v>
      </c>
      <c r="O137">
        <v>4</v>
      </c>
      <c r="P137" s="103" t="s">
        <v>425</v>
      </c>
      <c r="Q137" s="96" t="str">
        <f>CONCATENATE(TableMotorCrossRef[[#This Row],[Manufacturer]],TableMotorCrossRef[[#This Row],[Model]])</f>
        <v>Siemens1FK703x</v>
      </c>
    </row>
    <row r="138" spans="1:17" x14ac:dyDescent="0.25">
      <c r="A138" s="97" t="s">
        <v>427</v>
      </c>
      <c r="B138" s="97" t="s">
        <v>428</v>
      </c>
      <c r="C138" s="16">
        <v>74</v>
      </c>
      <c r="D138" s="97">
        <v>66.668999999999997</v>
      </c>
      <c r="E138" s="97">
        <v>38.1</v>
      </c>
      <c r="F138" s="97">
        <v>1.3</v>
      </c>
      <c r="G138" s="97">
        <v>6.35</v>
      </c>
      <c r="H138" s="97">
        <v>20.6</v>
      </c>
      <c r="I138" s="97">
        <v>56.9</v>
      </c>
      <c r="J138" s="97" t="s">
        <v>87</v>
      </c>
      <c r="K138" s="97">
        <v>4.83</v>
      </c>
      <c r="L138" s="97">
        <v>5.21</v>
      </c>
      <c r="M138" s="97" t="s">
        <v>87</v>
      </c>
      <c r="N138" s="97" t="s">
        <v>87</v>
      </c>
      <c r="O138" s="97">
        <v>4</v>
      </c>
      <c r="P138" t="s">
        <v>429</v>
      </c>
      <c r="Q138" s="96" t="str">
        <f>CONCATENATE(TableMotorCrossRef[[#This Row],[Manufacturer]],TableMotorCrossRef[[#This Row],[Model]])</f>
        <v>Slo-SynM060</v>
      </c>
    </row>
    <row r="139" spans="1:17" x14ac:dyDescent="0.25">
      <c r="A139" s="97" t="s">
        <v>427</v>
      </c>
      <c r="B139" t="s">
        <v>430</v>
      </c>
      <c r="C139" s="16">
        <v>75</v>
      </c>
      <c r="D139">
        <v>98.429000000000002</v>
      </c>
      <c r="E139">
        <v>73.025000000000006</v>
      </c>
      <c r="F139">
        <v>2</v>
      </c>
      <c r="G139">
        <v>9.5250000000000004</v>
      </c>
      <c r="H139">
        <v>30.2</v>
      </c>
      <c r="I139">
        <v>86</v>
      </c>
      <c r="J139" t="s">
        <v>87</v>
      </c>
      <c r="K139">
        <v>4.8</v>
      </c>
      <c r="L139">
        <v>5.8</v>
      </c>
      <c r="M139" t="s">
        <v>87</v>
      </c>
      <c r="N139" t="s">
        <v>87</v>
      </c>
      <c r="O139">
        <v>4</v>
      </c>
      <c r="P139" s="97" t="s">
        <v>429</v>
      </c>
      <c r="Q139" s="96" t="str">
        <f>CONCATENATE(TableMotorCrossRef[[#This Row],[Manufacturer]],TableMotorCrossRef[[#This Row],[Model]])</f>
        <v>Slo-SynM090</v>
      </c>
    </row>
    <row r="140" spans="1:17" x14ac:dyDescent="0.25">
      <c r="A140" s="97" t="s">
        <v>621</v>
      </c>
      <c r="B140" s="103" t="s">
        <v>622</v>
      </c>
      <c r="C140" s="97"/>
      <c r="D140" s="97">
        <v>66.7</v>
      </c>
      <c r="E140" s="97">
        <v>38.1</v>
      </c>
      <c r="F140" s="97">
        <v>1.9</v>
      </c>
      <c r="G140" s="97">
        <v>9.5299999999999994</v>
      </c>
      <c r="H140" s="97">
        <v>20.6</v>
      </c>
      <c r="I140" s="97">
        <v>59.1</v>
      </c>
      <c r="J140" s="97" t="s">
        <v>87</v>
      </c>
      <c r="K140" s="97">
        <v>4.8</v>
      </c>
      <c r="L140" s="97">
        <v>5.2</v>
      </c>
      <c r="M140" s="97" t="s">
        <v>87</v>
      </c>
      <c r="N140" s="97" t="s">
        <v>87</v>
      </c>
      <c r="O140" s="97">
        <v>4</v>
      </c>
      <c r="P140" s="103" t="s">
        <v>625</v>
      </c>
      <c r="Q140" s="96" t="str">
        <f>CONCATENATE(TableMotorCrossRef[[#This Row],[Manufacturer]],TableMotorCrossRef[[#This Row],[Model]])</f>
        <v xml:space="preserve">TeknicNEMA23, 3/8” shaft </v>
      </c>
    </row>
    <row r="141" spans="1:17" x14ac:dyDescent="0.25">
      <c r="A141" t="s">
        <v>621</v>
      </c>
      <c r="B141" s="175" t="s">
        <v>623</v>
      </c>
      <c r="D141">
        <v>98.4</v>
      </c>
      <c r="E141">
        <v>73.03</v>
      </c>
      <c r="F141">
        <v>2</v>
      </c>
      <c r="G141">
        <v>12.7</v>
      </c>
      <c r="H141">
        <v>32.5</v>
      </c>
      <c r="I141">
        <v>86.9</v>
      </c>
      <c r="J141" t="s">
        <v>87</v>
      </c>
      <c r="K141">
        <v>4.8</v>
      </c>
      <c r="L141">
        <v>5.6</v>
      </c>
      <c r="M141" t="s">
        <v>87</v>
      </c>
      <c r="N141" t="s">
        <v>87</v>
      </c>
      <c r="O141">
        <v>4</v>
      </c>
      <c r="P141" s="174" t="s">
        <v>624</v>
      </c>
      <c r="Q141" s="96" t="str">
        <f>CONCATENATE(TableMotorCrossRef[[#This Row],[Manufacturer]],TableMotorCrossRef[[#This Row],[Model]])</f>
        <v xml:space="preserve">TeknicNEMA34, ½” shaft </v>
      </c>
    </row>
    <row r="142" spans="1:17" x14ac:dyDescent="0.25">
      <c r="A142" s="103" t="s">
        <v>432</v>
      </c>
      <c r="B142" t="s">
        <v>436</v>
      </c>
      <c r="C142" s="16">
        <v>42</v>
      </c>
      <c r="D142">
        <v>46</v>
      </c>
      <c r="E142">
        <v>30</v>
      </c>
      <c r="F142">
        <v>2.5</v>
      </c>
      <c r="G142">
        <v>8</v>
      </c>
      <c r="H142">
        <v>25</v>
      </c>
      <c r="I142">
        <v>40</v>
      </c>
      <c r="J142" t="s">
        <v>87</v>
      </c>
      <c r="K142">
        <v>5</v>
      </c>
      <c r="L142">
        <v>4.3</v>
      </c>
      <c r="M142" t="s">
        <v>87</v>
      </c>
      <c r="N142" t="s">
        <v>87</v>
      </c>
      <c r="O142">
        <v>4</v>
      </c>
      <c r="P142" s="103" t="s">
        <v>437</v>
      </c>
      <c r="Q142" s="96" t="str">
        <f>CONCATENATE(TableMotorCrossRef[[#This Row],[Manufacturer]],TableMotorCrossRef[[#This Row],[Model]])</f>
        <v>YaskawaSGMJV-01AxA21</v>
      </c>
    </row>
    <row r="143" spans="1:17" x14ac:dyDescent="0.25">
      <c r="A143" t="s">
        <v>432</v>
      </c>
      <c r="B143" t="s">
        <v>438</v>
      </c>
      <c r="C143" s="16">
        <v>63</v>
      </c>
      <c r="D143">
        <v>70</v>
      </c>
      <c r="E143">
        <v>50</v>
      </c>
      <c r="F143">
        <v>3</v>
      </c>
      <c r="G143">
        <v>14</v>
      </c>
      <c r="H143">
        <v>30</v>
      </c>
      <c r="I143">
        <v>60</v>
      </c>
      <c r="J143" t="s">
        <v>87</v>
      </c>
      <c r="K143">
        <v>6</v>
      </c>
      <c r="L143">
        <v>5.5</v>
      </c>
      <c r="M143" t="s">
        <v>87</v>
      </c>
      <c r="N143" t="s">
        <v>87</v>
      </c>
      <c r="O143">
        <v>4</v>
      </c>
      <c r="P143" s="103" t="s">
        <v>437</v>
      </c>
      <c r="Q143" s="96" t="str">
        <f>CONCATENATE(TableMotorCrossRef[[#This Row],[Manufacturer]],TableMotorCrossRef[[#This Row],[Model]])</f>
        <v>YaskawaSGMJV-04AxA21</v>
      </c>
    </row>
    <row r="144" spans="1:17" x14ac:dyDescent="0.25">
      <c r="A144" t="s">
        <v>432</v>
      </c>
      <c r="B144" t="s">
        <v>433</v>
      </c>
      <c r="C144" s="16">
        <v>76</v>
      </c>
      <c r="D144">
        <v>70</v>
      </c>
      <c r="E144">
        <v>50</v>
      </c>
      <c r="F144">
        <v>3</v>
      </c>
      <c r="G144">
        <v>8</v>
      </c>
      <c r="H144">
        <v>25</v>
      </c>
      <c r="I144">
        <v>60</v>
      </c>
      <c r="J144" t="s">
        <v>87</v>
      </c>
      <c r="K144">
        <v>6</v>
      </c>
      <c r="L144">
        <v>5.3</v>
      </c>
      <c r="M144" t="s">
        <v>87</v>
      </c>
      <c r="N144" t="s">
        <v>87</v>
      </c>
      <c r="O144">
        <v>4</v>
      </c>
      <c r="P144" s="103" t="s">
        <v>431</v>
      </c>
      <c r="Q144" s="96" t="str">
        <f>CONCATENATE(TableMotorCrossRef[[#This Row],[Manufacturer]],TableMotorCrossRef[[#This Row],[Model]])</f>
        <v>YaskawaSGMPH-01xxx</v>
      </c>
    </row>
    <row r="145" spans="1:17" x14ac:dyDescent="0.25">
      <c r="A145" t="s">
        <v>432</v>
      </c>
      <c r="B145" t="s">
        <v>434</v>
      </c>
      <c r="C145" s="16">
        <v>77</v>
      </c>
      <c r="D145">
        <v>90</v>
      </c>
      <c r="E145">
        <v>70</v>
      </c>
      <c r="F145">
        <v>3</v>
      </c>
      <c r="G145">
        <v>14</v>
      </c>
      <c r="H145">
        <v>30</v>
      </c>
      <c r="I145">
        <v>80</v>
      </c>
      <c r="J145" t="s">
        <v>87</v>
      </c>
      <c r="K145">
        <v>8</v>
      </c>
      <c r="L145">
        <v>7</v>
      </c>
      <c r="M145" t="s">
        <v>87</v>
      </c>
      <c r="N145" t="s">
        <v>87</v>
      </c>
      <c r="O145">
        <v>4</v>
      </c>
      <c r="P145" t="s">
        <v>431</v>
      </c>
      <c r="Q145" s="96" t="str">
        <f>CONCATENATE(TableMotorCrossRef[[#This Row],[Manufacturer]],TableMotorCrossRef[[#This Row],[Model]])</f>
        <v>YaskawaSGMPH-02xxx</v>
      </c>
    </row>
    <row r="146" spans="1:17" x14ac:dyDescent="0.25">
      <c r="A146" s="103" t="s">
        <v>432</v>
      </c>
      <c r="B146" s="103" t="s">
        <v>435</v>
      </c>
      <c r="C146" s="16">
        <v>77</v>
      </c>
      <c r="D146">
        <v>90</v>
      </c>
      <c r="E146">
        <v>70</v>
      </c>
      <c r="F146">
        <v>3</v>
      </c>
      <c r="G146">
        <v>14</v>
      </c>
      <c r="H146">
        <v>30</v>
      </c>
      <c r="I146">
        <v>80</v>
      </c>
      <c r="J146" t="s">
        <v>87</v>
      </c>
      <c r="K146">
        <v>8</v>
      </c>
      <c r="L146">
        <v>7</v>
      </c>
      <c r="M146" t="s">
        <v>87</v>
      </c>
      <c r="N146" t="s">
        <v>87</v>
      </c>
      <c r="O146">
        <v>4</v>
      </c>
      <c r="P146" s="103" t="s">
        <v>431</v>
      </c>
      <c r="Q146" s="96" t="str">
        <f>CONCATENATE(TableMotorCrossRef[[#This Row],[Manufacturer]],TableMotorCrossRef[[#This Row],[Model]])</f>
        <v>YaskawaSGMPH-04xxx</v>
      </c>
    </row>
    <row r="147" spans="1:17" x14ac:dyDescent="0.25">
      <c r="A147" s="103" t="s">
        <v>432</v>
      </c>
      <c r="B147" s="103" t="s">
        <v>439</v>
      </c>
      <c r="C147" s="16">
        <v>42</v>
      </c>
      <c r="D147">
        <v>46</v>
      </c>
      <c r="E147">
        <v>30</v>
      </c>
      <c r="F147">
        <v>2.5</v>
      </c>
      <c r="G147">
        <v>8</v>
      </c>
      <c r="H147">
        <v>25</v>
      </c>
      <c r="I147">
        <v>40</v>
      </c>
      <c r="J147" t="s">
        <v>87</v>
      </c>
      <c r="K147">
        <v>5</v>
      </c>
      <c r="L147">
        <v>4.3</v>
      </c>
      <c r="M147" t="s">
        <v>87</v>
      </c>
      <c r="N147" t="s">
        <v>87</v>
      </c>
      <c r="O147">
        <v>4</v>
      </c>
      <c r="P147" t="s">
        <v>441</v>
      </c>
      <c r="Q147" s="96" t="str">
        <f>CONCATENATE(TableMotorCrossRef[[#This Row],[Manufacturer]],TableMotorCrossRef[[#This Row],[Model]])</f>
        <v>YaskawaSJME-01A</v>
      </c>
    </row>
    <row r="148" spans="1:17" x14ac:dyDescent="0.25">
      <c r="A148" s="103" t="s">
        <v>432</v>
      </c>
      <c r="B148" t="s">
        <v>440</v>
      </c>
      <c r="C148" s="16">
        <v>63</v>
      </c>
      <c r="D148">
        <v>70</v>
      </c>
      <c r="E148">
        <v>50</v>
      </c>
      <c r="F148">
        <v>3</v>
      </c>
      <c r="G148">
        <v>14</v>
      </c>
      <c r="H148">
        <v>30</v>
      </c>
      <c r="I148">
        <v>60</v>
      </c>
      <c r="J148" t="s">
        <v>87</v>
      </c>
      <c r="K148">
        <v>6</v>
      </c>
      <c r="L148">
        <v>5.5</v>
      </c>
      <c r="M148" t="s">
        <v>87</v>
      </c>
      <c r="N148" t="s">
        <v>87</v>
      </c>
      <c r="O148">
        <v>4</v>
      </c>
      <c r="P148" s="103" t="s">
        <v>441</v>
      </c>
      <c r="Q148" s="96" t="str">
        <f>CONCATENATE(TableMotorCrossRef[[#This Row],[Manufacturer]],TableMotorCrossRef[[#This Row],[Model]])</f>
        <v>YaskawaSJME-02</v>
      </c>
    </row>
    <row r="149" spans="1:17" x14ac:dyDescent="0.25">
      <c r="A149" s="103" t="s">
        <v>432</v>
      </c>
      <c r="B149" t="s">
        <v>442</v>
      </c>
      <c r="C149" s="16">
        <v>63</v>
      </c>
      <c r="D149">
        <v>70</v>
      </c>
      <c r="E149">
        <v>50</v>
      </c>
      <c r="F149">
        <v>3</v>
      </c>
      <c r="G149">
        <v>14</v>
      </c>
      <c r="H149">
        <v>30</v>
      </c>
      <c r="I149">
        <v>60</v>
      </c>
      <c r="J149" t="s">
        <v>87</v>
      </c>
      <c r="K149">
        <v>6</v>
      </c>
      <c r="L149">
        <v>5.5</v>
      </c>
      <c r="M149" t="s">
        <v>87</v>
      </c>
      <c r="N149" t="s">
        <v>87</v>
      </c>
      <c r="O149">
        <v>4</v>
      </c>
      <c r="P149" s="103" t="s">
        <v>441</v>
      </c>
      <c r="Q149" s="96" t="str">
        <f>CONCATENATE(TableMotorCrossRef[[#This Row],[Manufacturer]],TableMotorCrossRef[[#This Row],[Model]])</f>
        <v>YaskawaSJME-04</v>
      </c>
    </row>
    <row r="150" spans="1:17" x14ac:dyDescent="0.25">
      <c r="A150" s="103" t="s">
        <v>432</v>
      </c>
      <c r="B150" s="103" t="s">
        <v>443</v>
      </c>
      <c r="C150" s="16">
        <v>65</v>
      </c>
      <c r="D150">
        <v>90</v>
      </c>
      <c r="E150">
        <v>70</v>
      </c>
      <c r="F150">
        <v>3</v>
      </c>
      <c r="G150">
        <v>16</v>
      </c>
      <c r="H150">
        <v>40</v>
      </c>
      <c r="I150">
        <v>80</v>
      </c>
      <c r="J150" s="103" t="s">
        <v>87</v>
      </c>
      <c r="K150">
        <v>8</v>
      </c>
      <c r="L150">
        <v>7</v>
      </c>
      <c r="M150" s="103" t="s">
        <v>87</v>
      </c>
      <c r="N150" s="103" t="s">
        <v>87</v>
      </c>
      <c r="O150" s="103">
        <v>4</v>
      </c>
      <c r="P150" t="s">
        <v>441</v>
      </c>
      <c r="Q150" s="96" t="str">
        <f>CONCATENATE(TableMotorCrossRef[[#This Row],[Manufacturer]],TableMotorCrossRef[[#This Row],[Model]])</f>
        <v>YaskawaSJME-08</v>
      </c>
    </row>
  </sheetData>
  <dataConsolidate/>
  <hyperlinks>
    <hyperlink ref="P49" r:id="rId1" xr:uid="{00000000-0004-0000-0400-000000000000}"/>
    <hyperlink ref="P50" r:id="rId2" xr:uid="{00000000-0004-0000-0400-000001000000}"/>
    <hyperlink ref="P51" r:id="rId3" xr:uid="{00000000-0004-0000-0400-000002000000}"/>
    <hyperlink ref="P52" r:id="rId4" xr:uid="{00000000-0004-0000-0400-000003000000}"/>
    <hyperlink ref="P141" r:id="rId5" xr:uid="{00000000-0004-0000-0400-000004000000}"/>
  </hyperlinks>
  <pageMargins left="0.7" right="0.7" top="0.75" bottom="0.75" header="0.3" footer="0.3"/>
  <pageSetup paperSize="9" orientation="portrait" r:id="rId6"/>
  <customProperties>
    <customPr name="workbookAdvencedSettings" r:id="rId7"/>
    <customPr name="workbookExecutionSettings" r:id="rId8"/>
    <customPr name="workbookGatewaySettings" r:id="rId9"/>
  </customProperties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12" name="Button 12">
              <controlPr defaultSize="0" print="0" autoFill="0" autoPict="0" macro="[0]!updateMotorCrossRef">
                <anchor moveWithCells="1" sizeWithCells="1">
                  <from>
                    <xdr:col>1</xdr:col>
                    <xdr:colOff>1181100</xdr:colOff>
                    <xdr:row>2</xdr:row>
                    <xdr:rowOff>76200</xdr:rowOff>
                  </from>
                  <to>
                    <xdr:col>6</xdr:col>
                    <xdr:colOff>161925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CF225"/>
  <sheetViews>
    <sheetView topLeftCell="A156" zoomScaleNormal="100" workbookViewId="0">
      <selection activeCell="C3" sqref="C3"/>
    </sheetView>
  </sheetViews>
  <sheetFormatPr defaultRowHeight="15" x14ac:dyDescent="0.25"/>
  <cols>
    <col min="1" max="1" width="17.5703125" customWidth="1"/>
    <col min="2" max="2" width="11.140625" customWidth="1"/>
    <col min="3" max="3" width="15.7109375" customWidth="1"/>
    <col min="4" max="4" width="11.140625" customWidth="1"/>
    <col min="5" max="5" width="7.5703125" customWidth="1"/>
    <col min="6" max="6" width="10.28515625" customWidth="1"/>
    <col min="7" max="7" width="11" customWidth="1"/>
    <col min="8" max="8" width="9.42578125" customWidth="1"/>
    <col min="9" max="9" width="11.42578125" customWidth="1"/>
    <col min="10" max="10" width="10.7109375" customWidth="1"/>
    <col min="12" max="12" width="12.7109375" customWidth="1"/>
    <col min="13" max="13" width="10.42578125" customWidth="1"/>
    <col min="14" max="14" width="12.140625" customWidth="1"/>
    <col min="15" max="15" width="14.85546875" bestFit="1" customWidth="1"/>
    <col min="17" max="17" width="11.7109375" customWidth="1"/>
    <col min="22" max="22" width="11" customWidth="1"/>
    <col min="24" max="24" width="10.28515625" customWidth="1"/>
    <col min="25" max="25" width="11" customWidth="1"/>
    <col min="30" max="30" width="11" customWidth="1"/>
    <col min="31" max="31" width="10.5703125" bestFit="1" customWidth="1"/>
    <col min="32" max="32" width="10.85546875" bestFit="1" customWidth="1"/>
    <col min="33" max="34" width="10.5703125" bestFit="1" customWidth="1"/>
    <col min="38" max="38" width="11.85546875" customWidth="1"/>
    <col min="39" max="39" width="11.42578125" customWidth="1"/>
    <col min="40" max="40" width="13.28515625" customWidth="1"/>
    <col min="41" max="41" width="11" customWidth="1"/>
    <col min="42" max="43" width="13.42578125" customWidth="1"/>
    <col min="44" max="44" width="11.5703125" bestFit="1" customWidth="1"/>
    <col min="56" max="56" width="11.42578125" bestFit="1" customWidth="1"/>
    <col min="57" max="57" width="12" bestFit="1" customWidth="1"/>
    <col min="58" max="58" width="11.5703125" bestFit="1" customWidth="1"/>
  </cols>
  <sheetData>
    <row r="1" spans="1:67" x14ac:dyDescent="0.25">
      <c r="A1" s="21"/>
      <c r="B1" s="205" t="s">
        <v>202</v>
      </c>
      <c r="C1" s="209" t="s">
        <v>257</v>
      </c>
      <c r="D1" s="207" t="s">
        <v>258</v>
      </c>
      <c r="E1" s="21" t="s">
        <v>254</v>
      </c>
      <c r="F1" s="22"/>
      <c r="G1" s="22"/>
      <c r="H1" s="23"/>
      <c r="I1" s="50" t="s">
        <v>248</v>
      </c>
      <c r="J1" s="22"/>
      <c r="K1" s="22"/>
      <c r="L1" s="22"/>
      <c r="M1" s="22"/>
      <c r="N1" s="22"/>
      <c r="O1" s="22"/>
      <c r="P1" s="23"/>
      <c r="Q1" s="21" t="s">
        <v>235</v>
      </c>
      <c r="R1" s="22"/>
      <c r="S1" s="22"/>
      <c r="T1" s="22"/>
      <c r="U1" s="22"/>
      <c r="V1" s="22"/>
      <c r="W1" s="22"/>
      <c r="X1" s="22"/>
      <c r="Y1" s="21" t="s">
        <v>242</v>
      </c>
      <c r="Z1" s="22"/>
      <c r="AA1" s="22"/>
      <c r="AB1" s="22"/>
      <c r="AC1" s="22"/>
      <c r="AD1" s="22"/>
      <c r="AE1" s="22"/>
      <c r="AF1" s="23"/>
      <c r="AG1" s="16"/>
      <c r="AH1" s="16"/>
      <c r="AI1" s="16"/>
    </row>
    <row r="2" spans="1:67" x14ac:dyDescent="0.25">
      <c r="A2" s="17"/>
      <c r="B2" s="206"/>
      <c r="C2" s="210"/>
      <c r="D2" s="208"/>
      <c r="E2" s="43" t="s">
        <v>43</v>
      </c>
      <c r="F2" s="44" t="s">
        <v>42</v>
      </c>
      <c r="G2" s="44" t="s">
        <v>176</v>
      </c>
      <c r="H2" s="45" t="s">
        <v>3</v>
      </c>
      <c r="I2" s="43" t="s">
        <v>291</v>
      </c>
      <c r="J2" s="44" t="s">
        <v>18</v>
      </c>
      <c r="K2" s="63" t="s">
        <v>165</v>
      </c>
      <c r="L2" s="63" t="s">
        <v>173</v>
      </c>
      <c r="M2" s="44" t="s">
        <v>253</v>
      </c>
      <c r="N2" s="63" t="s">
        <v>231</v>
      </c>
      <c r="O2" s="63" t="s">
        <v>257</v>
      </c>
      <c r="P2" s="64" t="s">
        <v>258</v>
      </c>
      <c r="Q2" s="43" t="s">
        <v>291</v>
      </c>
      <c r="R2" s="44" t="s">
        <v>18</v>
      </c>
      <c r="S2" s="63" t="s">
        <v>165</v>
      </c>
      <c r="T2" s="63" t="s">
        <v>210</v>
      </c>
      <c r="U2" s="44" t="s">
        <v>253</v>
      </c>
      <c r="V2" s="44" t="s">
        <v>231</v>
      </c>
      <c r="W2" s="63" t="s">
        <v>257</v>
      </c>
      <c r="X2" s="64" t="s">
        <v>258</v>
      </c>
      <c r="Y2" s="43" t="s">
        <v>291</v>
      </c>
      <c r="Z2" s="44" t="s">
        <v>18</v>
      </c>
      <c r="AA2" s="63" t="s">
        <v>165</v>
      </c>
      <c r="AB2" s="63" t="s">
        <v>211</v>
      </c>
      <c r="AC2" s="44" t="s">
        <v>253</v>
      </c>
      <c r="AD2" s="44" t="s">
        <v>231</v>
      </c>
      <c r="AE2" s="44" t="s">
        <v>257</v>
      </c>
      <c r="AF2" s="64" t="s">
        <v>258</v>
      </c>
      <c r="AG2" s="16"/>
      <c r="AH2" s="16"/>
      <c r="AI2" s="16"/>
    </row>
    <row r="3" spans="1:67" ht="15.95" customHeight="1" x14ac:dyDescent="0.25">
      <c r="A3" s="21" t="s">
        <v>76</v>
      </c>
      <c r="B3" s="99">
        <f t="shared" ref="B3:B8" si="0">IFERROR(IF($F$11=1,M3,IF($F$11=2,U3,AC3)),0)</f>
        <v>0</v>
      </c>
      <c r="C3" s="22" t="str">
        <f t="shared" ref="C3:D6" si="1">IF($F$11=1,O3,IF($F$11=2,W3,AE3))</f>
        <v xml:space="preserve">Values out of range:
Bolt circle diameter
Pilot diameter
</v>
      </c>
      <c r="D3" s="23" t="str">
        <f t="shared" si="1"/>
        <v>Your motor fits!
PLATE ???
C = 52 mm</v>
      </c>
      <c r="E3" s="17">
        <f>IF(OR(E34=1,E34=0),E34,"???")</f>
        <v>1</v>
      </c>
      <c r="F3" s="25">
        <f>IF(OR(H34=1,H34=0),H34,"???")</f>
        <v>1</v>
      </c>
      <c r="G3" s="25">
        <f>INDEX(C26:E33,MATCH(1,E26:E33,0),1)</f>
        <v>52</v>
      </c>
      <c r="H3" s="18">
        <f>INDEX(C26:E33,MATCH(1,E26:E33,0),2)</f>
        <v>36.200000000000003</v>
      </c>
      <c r="I3" s="21">
        <f>IF(OR(R34=1,R34=0),R34,"???")</f>
        <v>0</v>
      </c>
      <c r="J3" s="22">
        <f>IF(OR(O34=1,O34=0),O34,"???")</f>
        <v>0</v>
      </c>
      <c r="K3" s="22">
        <f>IF(OR(U34=1,U34=0),U34,"???")</f>
        <v>1</v>
      </c>
      <c r="L3" s="22">
        <v>1</v>
      </c>
      <c r="M3" s="22">
        <f t="shared" ref="M3:M8" si="2">IF(AND($E3,$F3,I3,J3,K3,L3),1,0)</f>
        <v>0</v>
      </c>
      <c r="N3" s="62" t="str">
        <f>IFERROR(INDEX(I26:I33,MATCH(MIN(X26:X33),X26:X33,0),1),"???")</f>
        <v>???</v>
      </c>
      <c r="O3" s="22" t="str">
        <f t="shared" ref="O3:O8" si="3">$N$20&amp;IF(I3,"",$N$12)&amp;IF(J3=1,"",$N$13)&amp;IF($F3=1,"",$N$14)&amp;IF($E3=1,"",$N$16)&amp;IF(K3=1,"",$N$15)&amp;IF(AND(L3=0,$B$11=1),$N$18,IF(AND(L3=0,$B$11=2),$Q$12,""))&amp;IF(SUM(I3:L3)=4,$N$22,"")</f>
        <v xml:space="preserve">Values out of range:
Bolt circle diameter
Pilot diameter
</v>
      </c>
      <c r="P3" s="23" t="str">
        <f>$N$17&amp;$N$21&amp;N3&amp;CHAR(10)&amp;$N$19&amp;$G3&amp;" mm"</f>
        <v>Your motor fits!
PLATE ???
C = 52 mm</v>
      </c>
      <c r="Q3" s="21">
        <f>IF(OR(AV34=1,AV34=0),AV34,"???")</f>
        <v>0</v>
      </c>
      <c r="R3" s="22">
        <f>IF(OR(AU34=1,AU34=0),AU34,"???")</f>
        <v>0</v>
      </c>
      <c r="S3" s="22">
        <f>IF(OR(AY34=1,AY34=0),AY34,"???")</f>
        <v>1</v>
      </c>
      <c r="T3" s="22">
        <f>IF(OR(AB34=1,AB34=0),AB34,"???")</f>
        <v>1</v>
      </c>
      <c r="U3" s="22">
        <f>AZ34</f>
        <v>0</v>
      </c>
      <c r="V3" s="22" t="str">
        <f>IFERROR(INDEX(Y27:Y33,MATCH(MIN(BB27:BB33),BB27:BB33,0),1),"???")</f>
        <v>???</v>
      </c>
      <c r="W3" s="22" t="str">
        <f t="shared" ref="W3:W8" si="4">$N$20&amp;IF(Q3,"",$N$12)&amp;IF(R3=1,"",$N$13)&amp;IF($F3=1,"",$N$14)&amp;IF($E3=1,"",$N$16)&amp;IF(S3=1,"",$N$15)&amp;IF(AND(T3=0,$B$11=1),$N$18,IF(AND(T3=0,$B$11=2),$Q$12,""))&amp;IF(SUM(Q3:T3)=4,$N$22,"")</f>
        <v xml:space="preserve">Values out of range:
Bolt circle diameter
Pilot diameter
</v>
      </c>
      <c r="X3" s="23" t="str">
        <f>$N$17&amp;$N$21&amp;V3&amp;CHAR(10)&amp;$N$19&amp;$G3&amp;" mm"</f>
        <v>Your motor fits!
PLATE ???
C = 52 mm</v>
      </c>
      <c r="Y3" s="21">
        <f>IF(OR(BZ34=1,BZ34=0),BZ34,"???")</f>
        <v>0</v>
      </c>
      <c r="Z3" s="22">
        <f>IF(OR(BY34=1,BY34=0),BY34,"???")</f>
        <v>0</v>
      </c>
      <c r="AA3" s="22">
        <f>IF(OR(CC34=1,CC34=0),CC34,"???")</f>
        <v>1</v>
      </c>
      <c r="AB3" s="22">
        <f>IF(OR(BF34=1,BF34=0),BF34,"???")</f>
        <v>1</v>
      </c>
      <c r="AC3" s="22">
        <f>CD34</f>
        <v>0</v>
      </c>
      <c r="AD3" s="22" t="str">
        <f>IFERROR(INDEX(BC27:BC33,MATCH(MIN(CF27:CF33),CF27:CF33,0),1),"???")</f>
        <v>???</v>
      </c>
      <c r="AE3" s="22" t="str">
        <f t="shared" ref="AE3:AE8" si="5">$N$20&amp;IF(Y3,"",$N$12)&amp;IF(Z3=1,"",$N$13)&amp;IF($F3=1,"",$N$14)&amp;IF($E3=1,"",$N$16)&amp;IF(AA3=1,"",$N$15)&amp;IF(AND(AB3=0,$B$11=1),$N$18,IF(AND(AB3=0,$B$11=2),$Q$12,""))&amp;IF(SUM(Y3:AB3)=4,$N$22,"")</f>
        <v xml:space="preserve">Values out of range:
Bolt circle diameter
Pilot diameter
</v>
      </c>
      <c r="AF3" s="23" t="str">
        <f>$N$17&amp;$N$21&amp;AD3&amp;CHAR(10)&amp;$N$19&amp;$G3&amp;" mm"</f>
        <v>Your motor fits!
PLATE ???
C = 52 mm</v>
      </c>
      <c r="AG3" s="16"/>
      <c r="AH3" s="16"/>
      <c r="AI3" s="16"/>
    </row>
    <row r="4" spans="1:67" ht="14.25" customHeight="1" x14ac:dyDescent="0.25">
      <c r="A4" s="17" t="s">
        <v>78</v>
      </c>
      <c r="B4" s="100">
        <f t="shared" si="0"/>
        <v>1</v>
      </c>
      <c r="C4" s="25" t="str">
        <f t="shared" si="1"/>
        <v>Values out of range:
Unsupported combination</v>
      </c>
      <c r="D4" s="18" t="str">
        <f t="shared" si="1"/>
        <v>Your motor fits!
PLATE B
C = 59 mm</v>
      </c>
      <c r="E4" s="17">
        <f>IF(OR(E48=1,E48=0),E48,"???")</f>
        <v>1</v>
      </c>
      <c r="F4" s="25">
        <f>IF(OR(H48=1,H48=0),H48,"???")</f>
        <v>1</v>
      </c>
      <c r="G4" s="25">
        <f>INDEX(C40:C47,MATCH(1,E40:E47,0),1)</f>
        <v>59</v>
      </c>
      <c r="H4" s="18">
        <f>INDEX(D40:D47,MATCH(1,E40:E47,0),1)</f>
        <v>45.2</v>
      </c>
      <c r="I4" s="17">
        <f>IF(OR(R48=1,R48=0),R48,"???")</f>
        <v>1</v>
      </c>
      <c r="J4" s="25">
        <f>IF(OR(O48=1,O48=0),O48,"???")</f>
        <v>1</v>
      </c>
      <c r="K4" s="25">
        <f>IF(OR(U48=1,U48=0),U48,"???")</f>
        <v>1</v>
      </c>
      <c r="L4" s="25">
        <v>1</v>
      </c>
      <c r="M4" s="25">
        <f t="shared" si="2"/>
        <v>1</v>
      </c>
      <c r="N4" s="13" t="str">
        <f>IFERROR(INDEX(I40:I47,MATCH(MIN(X40:X47),X40:X47,0),1),"???")</f>
        <v>B</v>
      </c>
      <c r="O4" s="149" t="str">
        <f t="shared" si="3"/>
        <v>Values out of range:
Unsupported combination</v>
      </c>
      <c r="P4" s="18" t="str">
        <f>$N$17&amp;$N$21&amp;N4&amp;CHAR(10)&amp;$N$19&amp;$G4&amp;" mm"</f>
        <v>Your motor fits!
PLATE B
C = 59 mm</v>
      </c>
      <c r="Q4" s="35">
        <f>IF(OR(AV48=1,AV48=0),AV48,"???")</f>
        <v>0</v>
      </c>
      <c r="R4" s="34">
        <f>IF(OR(AU48=1,AU48=0),AU48,"???")</f>
        <v>0</v>
      </c>
      <c r="S4" s="34">
        <f>IF(OR(AY48=1,AY48=0),AY48,"???")</f>
        <v>1</v>
      </c>
      <c r="T4" s="34">
        <f>IF(OR(AB48=1,AB48=0),AB48,"???")</f>
        <v>1</v>
      </c>
      <c r="U4" s="34">
        <f>AZ48</f>
        <v>0</v>
      </c>
      <c r="V4" s="25" t="str">
        <f>IFERROR(INDEX(Y41:Y47,MATCH(MIN(BB41:BB47),BB41:BB47,0),1),"???")</f>
        <v>???</v>
      </c>
      <c r="W4" s="149" t="str">
        <f t="shared" si="4"/>
        <v xml:space="preserve">Values out of range:
Bolt circle diameter
Pilot diameter
</v>
      </c>
      <c r="X4" s="18" t="str">
        <f>$N$17&amp;$N$21&amp;V4&amp;CHAR(10)&amp;$N$19&amp;$G4&amp;" mm"</f>
        <v>Your motor fits!
PLATE ???
C = 59 mm</v>
      </c>
      <c r="Y4" s="17">
        <f>IF(OR(BZ48=1,BZ48=0),BZ48,"???")</f>
        <v>0</v>
      </c>
      <c r="Z4" s="25">
        <f>IF(OR(BY48=1,BY48=0),BY48,"???")</f>
        <v>0</v>
      </c>
      <c r="AA4" s="25">
        <f>IF(OR(CC48=1,CC48=0),CC48,"???")</f>
        <v>1</v>
      </c>
      <c r="AB4" s="25">
        <f>IF(OR(BF48=1,BF48=0),BF48,"???")</f>
        <v>1</v>
      </c>
      <c r="AC4" s="25">
        <f>CD48</f>
        <v>0</v>
      </c>
      <c r="AD4" s="25" t="str">
        <f>IFERROR(INDEX(BC41:BC47,MATCH(MIN(CF41:CF47),CF41:CF47,0),1),"???")</f>
        <v>???</v>
      </c>
      <c r="AE4" s="149" t="str">
        <f t="shared" si="5"/>
        <v xml:space="preserve">Values out of range:
Bolt circle diameter
Pilot diameter
</v>
      </c>
      <c r="AF4" s="18" t="str">
        <f>$N$17&amp;$N$21&amp;AD4&amp;CHAR(10)&amp;$N$19&amp;$G4&amp;" mm"</f>
        <v>Your motor fits!
PLATE ???
C = 59 mm</v>
      </c>
      <c r="AG4" s="16"/>
      <c r="AH4" s="16"/>
      <c r="AI4" s="16"/>
    </row>
    <row r="5" spans="1:67" ht="13.5" customHeight="1" x14ac:dyDescent="0.25">
      <c r="A5" s="19" t="s">
        <v>80</v>
      </c>
      <c r="B5" s="100">
        <f t="shared" si="0"/>
        <v>1</v>
      </c>
      <c r="C5" s="24" t="str">
        <f t="shared" si="1"/>
        <v>Values out of range:
Unsupported combination</v>
      </c>
      <c r="D5" s="20" t="str">
        <f t="shared" si="1"/>
        <v>Your motor fits!
PLATE B
C = 62 mm</v>
      </c>
      <c r="E5" s="19">
        <f>IF(OR(E62=1,E62=0),E62,"???")</f>
        <v>1</v>
      </c>
      <c r="F5" s="24">
        <f>IF(OR(H62=1,H62=0),H62,"???")</f>
        <v>1</v>
      </c>
      <c r="G5" s="24">
        <f>INDEX(C54:D61,MATCH(1,E54:E61,0),1)</f>
        <v>62</v>
      </c>
      <c r="H5" s="20">
        <f>INDEX(C54:D61,MATCH(1,E54:E61,0),2)</f>
        <v>48.7</v>
      </c>
      <c r="I5" s="19">
        <f>IF(OR(R62=1,R62=0),R62,"???")</f>
        <v>1</v>
      </c>
      <c r="J5" s="24">
        <f>IF(OR(O62=1,O62=0),O62,"???")</f>
        <v>1</v>
      </c>
      <c r="K5" s="24">
        <f>IF(OR(U62=1,U62=0),U62,"???")</f>
        <v>1</v>
      </c>
      <c r="L5" s="24">
        <v>1</v>
      </c>
      <c r="M5" s="24">
        <f t="shared" si="2"/>
        <v>1</v>
      </c>
      <c r="N5" s="47" t="str">
        <f>IFERROR(INDEX(I54:I61,MATCH(MIN(X54:X61),X54:X61,0),1),"???")</f>
        <v>B</v>
      </c>
      <c r="O5" s="24" t="str">
        <f t="shared" si="3"/>
        <v>Values out of range:
Unsupported combination</v>
      </c>
      <c r="P5" s="20" t="str">
        <f>$N$17&amp;$N$21&amp;N5&amp;CHAR(10)&amp;$N$19&amp;$G5&amp;" mm"</f>
        <v>Your motor fits!
PLATE B
C = 62 mm</v>
      </c>
      <c r="Q5" s="134">
        <f>IF(OR(AV62=1,AV62=0),AV62,"???")</f>
        <v>0</v>
      </c>
      <c r="R5" s="135">
        <f>IF(OR(AU62=1,AU62=0),AU62,"???")</f>
        <v>0</v>
      </c>
      <c r="S5" s="135">
        <f>IF(OR(AY62=1,AY62=0),AY62,"???")</f>
        <v>1</v>
      </c>
      <c r="T5" s="135">
        <f>IF(OR(AB62=1,AB62=0),AB62,"???")</f>
        <v>1</v>
      </c>
      <c r="U5" s="135">
        <f>AZ62</f>
        <v>0</v>
      </c>
      <c r="V5" s="24" t="str">
        <f>IFERROR(INDEX(Y55:Y61,MATCH(MIN(BB55:BB61),BB55:BB61,0),1),"???")</f>
        <v>???</v>
      </c>
      <c r="W5" s="24" t="str">
        <f t="shared" si="4"/>
        <v xml:space="preserve">Values out of range:
Bolt circle diameter
Pilot diameter
</v>
      </c>
      <c r="X5" s="20" t="str">
        <f>$N$17&amp;$N$21&amp;V5&amp;CHAR(10)&amp;$N$19&amp;$G5&amp;" mm"</f>
        <v>Your motor fits!
PLATE ???
C = 62 mm</v>
      </c>
      <c r="Y5" s="19">
        <f>IF(OR(BZ62=1,BZ62=0),BZ62,"???")</f>
        <v>0</v>
      </c>
      <c r="Z5" s="24">
        <f>IF(OR(BY62=1,BY62=0),BY62,"???")</f>
        <v>0</v>
      </c>
      <c r="AA5" s="24">
        <f>IF(OR(CC62=1,CC62=0),CC62,"???")</f>
        <v>1</v>
      </c>
      <c r="AB5" s="24">
        <f>IF(OR(BF62=1,BF62=0),BF62,"???")</f>
        <v>1</v>
      </c>
      <c r="AC5" s="24">
        <f>CD62</f>
        <v>0</v>
      </c>
      <c r="AD5" s="24" t="str">
        <f>IFERROR(INDEX(BC55:BC61,MATCH(MIN(CF55:CF61),CF55:CF61,0),1),"???")</f>
        <v>???</v>
      </c>
      <c r="AE5" s="24" t="str">
        <f t="shared" si="5"/>
        <v xml:space="preserve">Values out of range:
Bolt circle diameter
Pilot diameter
</v>
      </c>
      <c r="AF5" s="20" t="str">
        <f>$N$17&amp;$N$21&amp;AD5&amp;CHAR(10)&amp;$N$19&amp;$G5&amp;" mm"</f>
        <v>Your motor fits!
PLATE ???
C = 62 mm</v>
      </c>
      <c r="AG5" s="16"/>
      <c r="AH5" s="16"/>
      <c r="AI5" s="16"/>
    </row>
    <row r="6" spans="1:67" ht="13.5" customHeight="1" x14ac:dyDescent="0.25">
      <c r="A6" s="21" t="s">
        <v>81</v>
      </c>
      <c r="B6" s="99">
        <f t="shared" si="0"/>
        <v>0</v>
      </c>
      <c r="C6" s="22" t="str">
        <f t="shared" si="1"/>
        <v xml:space="preserve">Values out of range:
Bolt circle diameter
Pilot diameter
Shaft diameter
Square side
</v>
      </c>
      <c r="D6" s="23" t="str">
        <f t="shared" si="1"/>
        <v>Your motor fits!
PLATE ???</v>
      </c>
      <c r="E6" s="21">
        <f>IF(OR(E76=1,E76=0),E76,"???")</f>
        <v>1</v>
      </c>
      <c r="F6" s="22">
        <f>IF(OR(H76=1,H76=0),H76,"???")</f>
        <v>0</v>
      </c>
      <c r="G6" s="22" t="str">
        <f>INDEX(C68:C75,MATCH(1,E68:E75,0),1)</f>
        <v>NA</v>
      </c>
      <c r="H6" s="23" t="str">
        <f>INDEX(D68:D75,MATCH(1,E68:E75,0),1)</f>
        <v>NA</v>
      </c>
      <c r="I6" s="17">
        <f>IF(OR(R76=1,R76=0),R76,"???")</f>
        <v>0</v>
      </c>
      <c r="J6" s="25">
        <f>IF(OR(O76=1,O76=0),O76,"???")</f>
        <v>0</v>
      </c>
      <c r="K6" s="25">
        <f>IF(OR(U76=1,U76=0),U76,"???")</f>
        <v>1</v>
      </c>
      <c r="L6" s="25">
        <f>IF(OR(L76=1,L76=0),L76,"???")</f>
        <v>0</v>
      </c>
      <c r="M6" s="25">
        <f t="shared" si="2"/>
        <v>0</v>
      </c>
      <c r="N6" s="13" t="str">
        <f>IFERROR(INDEX(I68:I75,MATCH(MIN(X68:X75),X68:X75,0),1),"???")</f>
        <v>???</v>
      </c>
      <c r="O6" s="22" t="str">
        <f t="shared" si="3"/>
        <v xml:space="preserve">Values out of range:
Bolt circle diameter
Pilot diameter
Shaft diameter
Square side
</v>
      </c>
      <c r="P6" s="18" t="str">
        <f>$N$17&amp;$N$21&amp;N6</f>
        <v>Your motor fits!
PLATE ???</v>
      </c>
      <c r="Q6" s="35">
        <f>IF(OR(AV76=1,AV76=0),AV76,"???")</f>
        <v>0</v>
      </c>
      <c r="R6" s="34">
        <f>IF(OR(AU76=1,AU76=0),AU76,"???")</f>
        <v>0</v>
      </c>
      <c r="S6" s="34">
        <f>IF(OR(AY76=1,AY76=0),AY76,"???")</f>
        <v>1</v>
      </c>
      <c r="T6" s="34">
        <f>IF(OR(AB76=1,AB76=0),AB76,"???")</f>
        <v>0</v>
      </c>
      <c r="U6" s="25">
        <f>AZ76</f>
        <v>0</v>
      </c>
      <c r="V6" s="25" t="str">
        <f>IFERROR(INDEX(Y69:Y75,MATCH(MIN(BB69:BB75),BB69:BB75,0),1),"???")</f>
        <v>???</v>
      </c>
      <c r="W6" s="22" t="str">
        <f t="shared" si="4"/>
        <v xml:space="preserve">Values out of range:
Bolt circle diameter
Pilot diameter
Shaft diameter
Square side
</v>
      </c>
      <c r="X6" s="18" t="str">
        <f>$N$17&amp;$N$21&amp;V6</f>
        <v>Your motor fits!
PLATE ???</v>
      </c>
      <c r="Y6" s="17">
        <f>IF(OR(BZ76=1,BZ76=0),BZ76,"???")</f>
        <v>0</v>
      </c>
      <c r="Z6" s="25">
        <f>IF(OR(BY76=1,BY76=0),BY76,"???")</f>
        <v>0</v>
      </c>
      <c r="AA6" s="25">
        <f>IF(OR(CC76=1,CC76=0),CC76,"???")</f>
        <v>1</v>
      </c>
      <c r="AB6" s="25">
        <f>IF(OR(BF76=1,BF76=0),BF76,"???")</f>
        <v>0</v>
      </c>
      <c r="AC6" s="25">
        <f>CD76</f>
        <v>0</v>
      </c>
      <c r="AD6" s="25" t="str">
        <f>IFERROR(INDEX(BC69:BC75,MATCH(MIN(CF69:CF75),CF69:CF75,0),1),"???")</f>
        <v>???</v>
      </c>
      <c r="AE6" s="22" t="str">
        <f t="shared" si="5"/>
        <v xml:space="preserve">Values out of range:
Bolt circle diameter
Pilot diameter
Shaft diameter
Square side
</v>
      </c>
      <c r="AF6" s="18" t="str">
        <f>$N$17&amp;$N$21&amp;AD6</f>
        <v>Your motor fits!
PLATE ???</v>
      </c>
      <c r="AG6" s="16"/>
      <c r="AH6" s="16"/>
      <c r="AI6" s="16"/>
    </row>
    <row r="7" spans="1:67" ht="15" customHeight="1" x14ac:dyDescent="0.25">
      <c r="A7" s="17" t="s">
        <v>82</v>
      </c>
      <c r="B7" s="100">
        <f t="shared" si="0"/>
        <v>1</v>
      </c>
      <c r="C7" s="25" t="str">
        <f>IF($F$11=1,O7,IF($F$11=2,W7,AE7))</f>
        <v>Values out of range:
Unsupported combination</v>
      </c>
      <c r="D7" s="18" t="str">
        <f>IF($F$11=1,P7,IF($F$11=2,X7,AF7))</f>
        <v>Your motor fits!
PLATE D</v>
      </c>
      <c r="E7" s="17">
        <f>IF(OR(E90=1,E90=0),E90,"???")</f>
        <v>1</v>
      </c>
      <c r="F7" s="25">
        <f>IF(OR(H90=1,H90=0),H90,"???")</f>
        <v>1</v>
      </c>
      <c r="G7" s="25" t="str">
        <f>INDEX(C82:C89,MATCH(1,E82:E89,0),1)</f>
        <v>NA</v>
      </c>
      <c r="H7" s="18" t="str">
        <f>INDEX(D82:D89,MATCH(1,E82:E89,0),1)</f>
        <v>NA</v>
      </c>
      <c r="I7" s="17">
        <f>IF(OR(R90=1,R90=0),R90,"???")</f>
        <v>1</v>
      </c>
      <c r="J7" s="25">
        <f>IF(OR(O90=1,O90=0),O90,"???")</f>
        <v>1</v>
      </c>
      <c r="K7" s="25">
        <f>IF(OR(U90=1,U90=0),U90,"???")</f>
        <v>1</v>
      </c>
      <c r="L7" s="25">
        <f>IF(OR(L90=1,L90=0),L90,"???")</f>
        <v>1</v>
      </c>
      <c r="M7" s="25">
        <f t="shared" si="2"/>
        <v>1</v>
      </c>
      <c r="N7" s="13" t="str">
        <f>IFERROR(INDEX(I82:I89,MATCH(MIN(X82:X89),X82:X89,0),1),"???")</f>
        <v>D</v>
      </c>
      <c r="O7" s="149" t="str">
        <f t="shared" si="3"/>
        <v>Values out of range:
Unsupported combination</v>
      </c>
      <c r="P7" s="18" t="str">
        <f>$N$17&amp;$N$21&amp;N7</f>
        <v>Your motor fits!
PLATE D</v>
      </c>
      <c r="Q7" s="35">
        <f>IF(OR(AV90=1,AV90=0),AV90,"???")</f>
        <v>0</v>
      </c>
      <c r="R7" s="34">
        <f>IF(OR(AU90=1,AU90=0),AU90,"???")</f>
        <v>0</v>
      </c>
      <c r="S7" s="34">
        <f>IF(OR(AY90=1,AY90=0),AY90,"???")</f>
        <v>1</v>
      </c>
      <c r="T7" s="34">
        <f>IF(OR(AB90=1,AB90=0),AB90,"???")</f>
        <v>1</v>
      </c>
      <c r="U7" s="25">
        <f>AZ90</f>
        <v>0</v>
      </c>
      <c r="V7" s="25" t="str">
        <f>IFERROR(INDEX(Y83:Y89,MATCH(MIN(BB83:BB89),BB83:BB89,0),1),"???")</f>
        <v>???</v>
      </c>
      <c r="W7" s="149" t="str">
        <f t="shared" si="4"/>
        <v xml:space="preserve">Values out of range:
Bolt circle diameter
Pilot diameter
</v>
      </c>
      <c r="X7" s="18" t="str">
        <f>$N$17&amp;$N$21&amp;V7</f>
        <v>Your motor fits!
PLATE ???</v>
      </c>
      <c r="Y7" s="17">
        <f>IF(OR(BZ90=1,BZ90=0),BZ90,"???")</f>
        <v>0</v>
      </c>
      <c r="Z7" s="25">
        <f>IF(OR(BY90=1,BY90=0),BY90,"???")</f>
        <v>0</v>
      </c>
      <c r="AA7" s="25">
        <f>IF(OR(CC90=1,CC90=0),CC90,"???")</f>
        <v>1</v>
      </c>
      <c r="AB7" s="25">
        <f>IF(OR(BF90=1,BF90=0),BF90,"???")</f>
        <v>1</v>
      </c>
      <c r="AC7" s="25">
        <f>CD90</f>
        <v>0</v>
      </c>
      <c r="AD7" s="25" t="str">
        <f>IFERROR(INDEX(BC83:BC89,MATCH(MIN(CF83:CF89),CF83:CF89,0),1),"???")</f>
        <v>???</v>
      </c>
      <c r="AE7" s="149" t="str">
        <f t="shared" si="5"/>
        <v xml:space="preserve">Values out of range:
Bolt circle diameter
Pilot diameter
</v>
      </c>
      <c r="AF7" s="18" t="str">
        <f>$N$17&amp;$N$21&amp;AD7</f>
        <v>Your motor fits!
PLATE ???</v>
      </c>
      <c r="AG7" s="16"/>
      <c r="AH7" s="16"/>
      <c r="AI7" s="16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</row>
    <row r="8" spans="1:67" ht="15" customHeight="1" x14ac:dyDescent="0.25">
      <c r="A8" s="19" t="s">
        <v>83</v>
      </c>
      <c r="B8" s="101">
        <f t="shared" si="0"/>
        <v>1</v>
      </c>
      <c r="C8" s="24" t="str">
        <f>IF($F$11=1,O8,IF($F$11=2,W8,AE8))</f>
        <v>Values out of range:
Unsupported combination</v>
      </c>
      <c r="D8" s="20" t="str">
        <f>IF($F$11=1,P8,IF($F$11=2,X8,AF8))</f>
        <v>Your motor fits!
PLATE C</v>
      </c>
      <c r="E8" s="19">
        <f>IF(OR(E104=1,E104=0),E104,"???")</f>
        <v>1</v>
      </c>
      <c r="F8" s="24">
        <f>IF(OR(H104=1,H104=0),H104,"???")</f>
        <v>1</v>
      </c>
      <c r="G8" s="24" t="str">
        <f>INDEX(C96:C103,MATCH(1,E96:E103,0),1)</f>
        <v>NA</v>
      </c>
      <c r="H8" s="20" t="str">
        <f>INDEX(D96:D103,MATCH(1,E96:E103,0),1)</f>
        <v>NA</v>
      </c>
      <c r="I8" s="19">
        <f>IF(OR(R104=1,R104=0),R104,"???")</f>
        <v>1</v>
      </c>
      <c r="J8" s="24">
        <f>IF(OR(O104=1,O104=0),O104,"???")</f>
        <v>1</v>
      </c>
      <c r="K8" s="24">
        <f>IF(OR(U104=1,U104=0),U104,"???")</f>
        <v>1</v>
      </c>
      <c r="L8" s="24">
        <f>IF(OR(L104=1,L104=0),L104,"???")</f>
        <v>1</v>
      </c>
      <c r="M8" s="24">
        <f t="shared" si="2"/>
        <v>1</v>
      </c>
      <c r="N8" s="47" t="str">
        <f>IFERROR(INDEX(I96:I103,MATCH(MIN(X96:X103),X96:X103,0),1),"???")</f>
        <v>C</v>
      </c>
      <c r="O8" s="24" t="str">
        <f t="shared" si="3"/>
        <v>Values out of range:
Unsupported combination</v>
      </c>
      <c r="P8" s="20" t="str">
        <f>$N$17&amp;$N$21&amp;N8</f>
        <v>Your motor fits!
PLATE C</v>
      </c>
      <c r="Q8" s="134">
        <f>IF(OR(AV104=1,AV104=0),AV104,"???")</f>
        <v>0</v>
      </c>
      <c r="R8" s="135">
        <f>IF(OR(AU104=1,AU104=0),AU104,"???")</f>
        <v>0</v>
      </c>
      <c r="S8" s="135">
        <f>IF(OR(AY104=1,AY104=0),AY104,"???")</f>
        <v>1</v>
      </c>
      <c r="T8" s="135">
        <f>IF(OR(AB104=1,AB104=0),AB104,"???")</f>
        <v>1</v>
      </c>
      <c r="U8" s="24">
        <f>AZ104</f>
        <v>0</v>
      </c>
      <c r="V8" s="24" t="str">
        <f>IFERROR(INDEX(Y97:Y103,MATCH(MIN(BB97:BB103),BB97:BB103,0),1),"???")</f>
        <v>???</v>
      </c>
      <c r="W8" s="24" t="str">
        <f t="shared" si="4"/>
        <v xml:space="preserve">Values out of range:
Bolt circle diameter
Pilot diameter
</v>
      </c>
      <c r="X8" s="20" t="str">
        <f>$N$17&amp;$N$21&amp;V8</f>
        <v>Your motor fits!
PLATE ???</v>
      </c>
      <c r="Y8" s="19">
        <f>IF(OR(BZ104=1,BZ104=0),BZ104,"???")</f>
        <v>0</v>
      </c>
      <c r="Z8" s="24">
        <f>IF(OR(BY104=1,BY104=0),BY104,"???")</f>
        <v>0</v>
      </c>
      <c r="AA8" s="24">
        <f>IF(OR(CC104=1,CC104=0),CC104,"???")</f>
        <v>1</v>
      </c>
      <c r="AB8" s="24">
        <f>IF(OR(BF104=1,BF104=0),BF104,"???")</f>
        <v>1</v>
      </c>
      <c r="AC8" s="24">
        <f>CD104</f>
        <v>0</v>
      </c>
      <c r="AD8" s="24" t="str">
        <f>IFERROR(INDEX(BC97:BC103,MATCH(MIN(CF97:CF103),CF97:CF103,0),1),"???")</f>
        <v>???</v>
      </c>
      <c r="AE8" s="24" t="str">
        <f t="shared" si="5"/>
        <v xml:space="preserve">Values out of range:
Bolt circle diameter
Pilot diameter
</v>
      </c>
      <c r="AF8" s="20" t="str">
        <f>$N$17&amp;$N$21&amp;AD8</f>
        <v>Your motor fits!
PLATE ???</v>
      </c>
      <c r="AG8" s="16"/>
      <c r="AH8" s="16"/>
      <c r="AI8" s="16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</row>
    <row r="9" spans="1:67" x14ac:dyDescent="0.25">
      <c r="B9" s="16"/>
      <c r="C9" s="16"/>
      <c r="D9" s="16"/>
      <c r="E9" s="16"/>
      <c r="F9" s="16"/>
      <c r="G9" s="16"/>
      <c r="P9" s="16"/>
      <c r="W9" s="16"/>
      <c r="X9" s="16"/>
      <c r="AG9" s="16"/>
      <c r="AH9" s="16"/>
      <c r="AI9" s="16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</row>
    <row r="10" spans="1:67" x14ac:dyDescent="0.25">
      <c r="A10" t="s">
        <v>226</v>
      </c>
      <c r="C10" s="16"/>
      <c r="D10" s="16"/>
      <c r="W10" s="16"/>
      <c r="X10" s="16"/>
      <c r="AG10" s="16"/>
      <c r="AH10" s="16"/>
      <c r="AI10" s="16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</row>
    <row r="11" spans="1:67" s="16" customFormat="1" x14ac:dyDescent="0.25">
      <c r="A11" t="s">
        <v>227</v>
      </c>
      <c r="B11">
        <f>UIoptions!N35</f>
        <v>1</v>
      </c>
      <c r="C11" t="s">
        <v>228</v>
      </c>
      <c r="E11" s="16" t="s">
        <v>249</v>
      </c>
      <c r="F11" s="16">
        <f>IF(B12=1,1,IF(AND(B12=0,B11=1),2,IF(AND(B12=0,B11=2),3,"???")))</f>
        <v>1</v>
      </c>
      <c r="G11" s="16" t="s">
        <v>250</v>
      </c>
      <c r="N11" s="3" t="s">
        <v>178</v>
      </c>
      <c r="O11"/>
      <c r="P11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</row>
    <row r="12" spans="1:67" s="16" customFormat="1" x14ac:dyDescent="0.25">
      <c r="A12" t="s">
        <v>225</v>
      </c>
      <c r="B12">
        <f>IF(UIoptions!N75=1,1,0)</f>
        <v>1</v>
      </c>
      <c r="C12" t="s">
        <v>229</v>
      </c>
      <c r="N12" t="str">
        <f>"Bolt circle diameter"&amp;CHAR(10)</f>
        <v xml:space="preserve">Bolt circle diameter
</v>
      </c>
      <c r="O12"/>
      <c r="P12" t="s">
        <v>260</v>
      </c>
      <c r="Q12" s="16" t="str">
        <f>"Outer diameter"&amp;CHAR(10)</f>
        <v xml:space="preserve">Outer diameter
</v>
      </c>
      <c r="S12" s="16" t="s">
        <v>260</v>
      </c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</row>
    <row r="13" spans="1:67" s="16" customFormat="1" x14ac:dyDescent="0.25">
      <c r="A13" s="13" t="s">
        <v>291</v>
      </c>
      <c r="B13">
        <f>UIoptions!P10</f>
        <v>75</v>
      </c>
      <c r="N13" t="str">
        <f>"Pilot diameter"&amp;CHAR(10)</f>
        <v xml:space="preserve">Pilot diameter
</v>
      </c>
      <c r="O13"/>
      <c r="P13" t="s">
        <v>260</v>
      </c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</row>
    <row r="14" spans="1:67" s="16" customFormat="1" x14ac:dyDescent="0.25">
      <c r="A14" s="13" t="s">
        <v>18</v>
      </c>
      <c r="B14" s="16">
        <f>UIoptions!P11</f>
        <v>60</v>
      </c>
      <c r="N14" t="str">
        <f>"Shaft diameter"&amp;CHAR(10)</f>
        <v xml:space="preserve">Shaft diameter
</v>
      </c>
      <c r="O14"/>
      <c r="P14" t="s">
        <v>260</v>
      </c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</row>
    <row r="15" spans="1:67" s="16" customFormat="1" x14ac:dyDescent="0.25">
      <c r="A15" s="13" t="s">
        <v>42</v>
      </c>
      <c r="B15" s="16">
        <f>UIoptions!P12</f>
        <v>11</v>
      </c>
      <c r="N15" t="str">
        <f>"Pilot length"&amp; CHAR(10)</f>
        <v xml:space="preserve">Pilot length
</v>
      </c>
      <c r="O15"/>
      <c r="P15" t="s">
        <v>260</v>
      </c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</row>
    <row r="16" spans="1:67" s="16" customFormat="1" x14ac:dyDescent="0.25">
      <c r="A16" s="13" t="s">
        <v>43</v>
      </c>
      <c r="B16" s="16">
        <f>UIoptions!P13</f>
        <v>23</v>
      </c>
      <c r="N16" t="str">
        <f>"Shaft length"&amp;CHAR(10)</f>
        <v xml:space="preserve">Shaft length
</v>
      </c>
      <c r="O16"/>
      <c r="P16" t="s">
        <v>260</v>
      </c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</row>
    <row r="17" spans="1:84" s="16" customFormat="1" x14ac:dyDescent="0.25">
      <c r="A17" s="13" t="s">
        <v>165</v>
      </c>
      <c r="B17" s="16">
        <f>UIoptions!P14</f>
        <v>2.5</v>
      </c>
      <c r="N17" t="str">
        <f>"Your motor fits!"&amp;CHAR(10)</f>
        <v xml:space="preserve">Your motor fits!
</v>
      </c>
      <c r="O17"/>
      <c r="P17" t="s">
        <v>260</v>
      </c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</row>
    <row r="18" spans="1:84" s="16" customFormat="1" x14ac:dyDescent="0.25">
      <c r="A18" s="13" t="s">
        <v>173</v>
      </c>
      <c r="B18" s="16">
        <f>UIoptions!P15</f>
        <v>70</v>
      </c>
      <c r="N18" t="str">
        <f>"Square side"&amp;CHAR(10)</f>
        <v xml:space="preserve">Square side
</v>
      </c>
      <c r="O18"/>
      <c r="P18" t="s">
        <v>260</v>
      </c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</row>
    <row r="19" spans="1:84" s="16" customFormat="1" x14ac:dyDescent="0.25">
      <c r="A19" s="13" t="s">
        <v>66</v>
      </c>
      <c r="B19" s="16">
        <f>UIoptions!P16</f>
        <v>0</v>
      </c>
      <c r="N19" t="s">
        <v>179</v>
      </c>
      <c r="O19"/>
      <c r="P19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</row>
    <row r="20" spans="1:84" s="16" customFormat="1" x14ac:dyDescent="0.25">
      <c r="A20" s="13" t="s">
        <v>71</v>
      </c>
      <c r="B20" s="16">
        <f>UIoptions!P17</f>
        <v>0</v>
      </c>
      <c r="N20" t="str">
        <f>"Values out of range:"&amp;CHAR(10)</f>
        <v xml:space="preserve">Values out of range:
</v>
      </c>
      <c r="O20"/>
      <c r="P20" t="s">
        <v>260</v>
      </c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</row>
    <row r="21" spans="1:84" s="16" customFormat="1" x14ac:dyDescent="0.25">
      <c r="A21" s="53" t="s">
        <v>456</v>
      </c>
      <c r="B21" s="16">
        <f>UIoptions!$P$18</f>
        <v>0</v>
      </c>
      <c r="N21" s="16" t="s">
        <v>259</v>
      </c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</row>
    <row r="22" spans="1:84" s="103" customFormat="1" x14ac:dyDescent="0.25">
      <c r="A22" s="53" t="s">
        <v>70</v>
      </c>
      <c r="B22" s="93" t="str">
        <f>UIoptions!P19</f>
        <v>NA</v>
      </c>
      <c r="C22" s="93" t="str">
        <f>IFERROR(INDEX(A111:B153,MATCH(B22,A111:A153,0),2),"???")</f>
        <v>???</v>
      </c>
      <c r="N22" s="103" t="s">
        <v>516</v>
      </c>
    </row>
    <row r="23" spans="1:84" s="16" customFormat="1" ht="38.25" customHeight="1" x14ac:dyDescent="0.25">
      <c r="A23" s="54" t="s">
        <v>76</v>
      </c>
      <c r="I23" s="54" t="s">
        <v>76</v>
      </c>
      <c r="J23" s="54"/>
      <c r="K23" s="54"/>
      <c r="L23" s="54"/>
      <c r="Y23" s="54" t="s">
        <v>76</v>
      </c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U23" s="103"/>
      <c r="AV23" s="103"/>
      <c r="BC23" s="54" t="s">
        <v>76</v>
      </c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</row>
    <row r="24" spans="1:84" s="16" customFormat="1" x14ac:dyDescent="0.25">
      <c r="A24" s="58" t="s">
        <v>254</v>
      </c>
      <c r="B24" s="59"/>
      <c r="C24" s="59"/>
      <c r="D24" s="59"/>
      <c r="E24" s="44"/>
      <c r="F24" s="44"/>
      <c r="G24" s="44"/>
      <c r="H24" s="45"/>
      <c r="I24" s="50" t="s">
        <v>248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2"/>
      <c r="Y24" s="43" t="s">
        <v>235</v>
      </c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21" t="s">
        <v>242</v>
      </c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3"/>
    </row>
    <row r="25" spans="1:84" s="16" customFormat="1" x14ac:dyDescent="0.25">
      <c r="A25" s="21" t="s">
        <v>251</v>
      </c>
      <c r="B25" s="22" t="s">
        <v>252</v>
      </c>
      <c r="C25" s="22" t="s">
        <v>162</v>
      </c>
      <c r="D25" s="22" t="s">
        <v>3</v>
      </c>
      <c r="E25" s="23" t="s">
        <v>261</v>
      </c>
      <c r="F25" s="25" t="s">
        <v>255</v>
      </c>
      <c r="G25" s="25" t="s">
        <v>256</v>
      </c>
      <c r="H25" s="18" t="s">
        <v>262</v>
      </c>
      <c r="I25" s="55" t="s">
        <v>231</v>
      </c>
      <c r="J25" s="56" t="s">
        <v>236</v>
      </c>
      <c r="K25" s="56" t="s">
        <v>237</v>
      </c>
      <c r="L25" s="56" t="s">
        <v>238</v>
      </c>
      <c r="M25" s="56" t="s">
        <v>232</v>
      </c>
      <c r="N25" s="56" t="s">
        <v>233</v>
      </c>
      <c r="O25" s="56" t="s">
        <v>234</v>
      </c>
      <c r="P25" s="56" t="s">
        <v>486</v>
      </c>
      <c r="Q25" s="56" t="s">
        <v>487</v>
      </c>
      <c r="R25" s="56" t="s">
        <v>488</v>
      </c>
      <c r="S25" s="56" t="s">
        <v>239</v>
      </c>
      <c r="T25" s="56" t="s">
        <v>240</v>
      </c>
      <c r="U25" s="56" t="s">
        <v>241</v>
      </c>
      <c r="V25" s="56" t="s">
        <v>202</v>
      </c>
      <c r="W25" s="56" t="s">
        <v>246</v>
      </c>
      <c r="X25" s="57" t="s">
        <v>247</v>
      </c>
      <c r="AC25" s="126" t="s">
        <v>105</v>
      </c>
      <c r="AD25" s="75"/>
      <c r="AE25" s="75"/>
      <c r="AF25" s="75"/>
      <c r="AG25" s="75"/>
      <c r="AH25" s="75"/>
      <c r="AI25" s="127" t="s">
        <v>7</v>
      </c>
      <c r="AJ25" s="104"/>
      <c r="AK25" s="104"/>
      <c r="AL25" s="104"/>
      <c r="AM25" s="104"/>
      <c r="AN25" s="104"/>
      <c r="AO25" s="128" t="s">
        <v>45</v>
      </c>
      <c r="AP25" s="129"/>
      <c r="AQ25" s="119"/>
      <c r="AR25" s="119"/>
      <c r="AS25" s="119"/>
      <c r="AT25" s="119"/>
      <c r="AU25" s="115" t="s">
        <v>514</v>
      </c>
      <c r="AV25" s="115"/>
      <c r="BC25" s="21"/>
      <c r="BD25" s="22"/>
      <c r="BE25" s="22"/>
      <c r="BF25" s="22"/>
      <c r="BG25" s="139" t="s">
        <v>105</v>
      </c>
      <c r="BH25" s="72"/>
      <c r="BI25" s="72"/>
      <c r="BJ25" s="72"/>
      <c r="BK25" s="72"/>
      <c r="BL25" s="72"/>
      <c r="BM25" s="140" t="s">
        <v>7</v>
      </c>
      <c r="BN25" s="141"/>
      <c r="BO25" s="141"/>
      <c r="BP25" s="141"/>
      <c r="BQ25" s="141"/>
      <c r="BR25" s="141"/>
      <c r="BS25" s="142" t="s">
        <v>45</v>
      </c>
      <c r="BT25" s="143"/>
      <c r="BU25" s="144"/>
      <c r="BV25" s="144"/>
      <c r="BW25" s="144"/>
      <c r="BX25" s="144"/>
      <c r="BY25" s="145" t="s">
        <v>514</v>
      </c>
      <c r="BZ25" s="145"/>
      <c r="CA25" s="22"/>
      <c r="CB25" s="22"/>
      <c r="CC25" s="22"/>
      <c r="CD25" s="22"/>
      <c r="CE25" s="22"/>
      <c r="CF25" s="23"/>
    </row>
    <row r="26" spans="1:84" s="16" customFormat="1" x14ac:dyDescent="0.25">
      <c r="A26" s="17">
        <v>19</v>
      </c>
      <c r="B26" s="25">
        <v>21.5</v>
      </c>
      <c r="C26" s="25">
        <v>52</v>
      </c>
      <c r="D26" s="25">
        <v>38.700000000000003</v>
      </c>
      <c r="E26" s="18">
        <f>IF(AND($B$16&gt;=Criteria!A26,$B$16&lt;=Criteria!B26),1,0)</f>
        <v>0</v>
      </c>
      <c r="F26" s="25">
        <v>5</v>
      </c>
      <c r="G26" s="25">
        <v>11</v>
      </c>
      <c r="H26" s="18">
        <f>IF(AND($B$15&gt;=F26,$B$15&lt;=G26),1,0)</f>
        <v>1</v>
      </c>
      <c r="I26" s="17" t="s">
        <v>171</v>
      </c>
      <c r="J26" s="25" t="s">
        <v>87</v>
      </c>
      <c r="K26" s="25" t="s">
        <v>87</v>
      </c>
      <c r="L26" s="25" t="s">
        <v>87</v>
      </c>
      <c r="M26" s="34">
        <v>16</v>
      </c>
      <c r="N26" s="34">
        <v>36</v>
      </c>
      <c r="O26" s="25">
        <f>IF(AND($B$14&gt;=M26,$B$14&lt;=N26),1,0)</f>
        <v>0</v>
      </c>
      <c r="P26" s="25">
        <v>43.8</v>
      </c>
      <c r="Q26" s="25">
        <v>48</v>
      </c>
      <c r="R26" s="25">
        <f>IF(AND(Q26="NA",K26&lt;&gt;"NA"),L26,IF(AND($B$13&gt;=P26,$B$13&lt;=Q26),1,0))</f>
        <v>0</v>
      </c>
      <c r="S26" s="25">
        <v>0.2</v>
      </c>
      <c r="T26" s="25">
        <v>4</v>
      </c>
      <c r="U26" s="25">
        <f>IF(AND($B$17&gt;=S26,$B$17&lt;=T26),1,0)</f>
        <v>1</v>
      </c>
      <c r="V26" s="25">
        <f>IF(AND(IF(L26="NA",1,L26)=1,IF(O26="NA",1,O26)=1,IF(R26="NA",1,R26)=1,IF(U26="NA",1,U26)=1),1,0)</f>
        <v>0</v>
      </c>
      <c r="W26" s="25">
        <v>1</v>
      </c>
      <c r="X26" s="18" t="str">
        <f>IF(V26=1,W26,"NA")</f>
        <v>NA</v>
      </c>
      <c r="Y26" s="35" t="s">
        <v>231</v>
      </c>
      <c r="Z26" s="34" t="s">
        <v>236</v>
      </c>
      <c r="AA26" s="34" t="s">
        <v>237</v>
      </c>
      <c r="AB26" s="34" t="s">
        <v>238</v>
      </c>
      <c r="AC26" s="75" t="s">
        <v>232</v>
      </c>
      <c r="AD26" s="75" t="s">
        <v>233</v>
      </c>
      <c r="AE26" s="75" t="s">
        <v>234</v>
      </c>
      <c r="AF26" s="75" t="s">
        <v>486</v>
      </c>
      <c r="AG26" s="75" t="s">
        <v>487</v>
      </c>
      <c r="AH26" s="75" t="s">
        <v>488</v>
      </c>
      <c r="AI26" s="117" t="s">
        <v>232</v>
      </c>
      <c r="AJ26" s="117" t="s">
        <v>233</v>
      </c>
      <c r="AK26" s="117" t="s">
        <v>234</v>
      </c>
      <c r="AL26" s="117" t="s">
        <v>486</v>
      </c>
      <c r="AM26" s="117" t="s">
        <v>487</v>
      </c>
      <c r="AN26" s="117" t="s">
        <v>488</v>
      </c>
      <c r="AO26" s="120" t="s">
        <v>232</v>
      </c>
      <c r="AP26" s="120" t="s">
        <v>233</v>
      </c>
      <c r="AQ26" s="120" t="s">
        <v>234</v>
      </c>
      <c r="AR26" s="120" t="s">
        <v>486</v>
      </c>
      <c r="AS26" s="120" t="s">
        <v>487</v>
      </c>
      <c r="AT26" s="120" t="s">
        <v>488</v>
      </c>
      <c r="AU26" s="116" t="s">
        <v>234</v>
      </c>
      <c r="AV26" s="116" t="s">
        <v>488</v>
      </c>
      <c r="AW26" s="34" t="s">
        <v>239</v>
      </c>
      <c r="AX26" s="34" t="s">
        <v>240</v>
      </c>
      <c r="AY26" s="34" t="s">
        <v>241</v>
      </c>
      <c r="AZ26" s="34" t="s">
        <v>202</v>
      </c>
      <c r="BA26" s="34" t="s">
        <v>246</v>
      </c>
      <c r="BB26" s="34" t="s">
        <v>247</v>
      </c>
      <c r="BC26" s="35" t="s">
        <v>231</v>
      </c>
      <c r="BD26" s="34" t="s">
        <v>243</v>
      </c>
      <c r="BE26" s="34" t="s">
        <v>244</v>
      </c>
      <c r="BF26" s="34" t="s">
        <v>245</v>
      </c>
      <c r="BG26" s="75" t="s">
        <v>232</v>
      </c>
      <c r="BH26" s="75" t="s">
        <v>233</v>
      </c>
      <c r="BI26" s="75" t="s">
        <v>234</v>
      </c>
      <c r="BJ26" s="75" t="s">
        <v>486</v>
      </c>
      <c r="BK26" s="75" t="s">
        <v>487</v>
      </c>
      <c r="BL26" s="75" t="s">
        <v>488</v>
      </c>
      <c r="BM26" s="117" t="s">
        <v>232</v>
      </c>
      <c r="BN26" s="117" t="s">
        <v>233</v>
      </c>
      <c r="BO26" s="117" t="s">
        <v>234</v>
      </c>
      <c r="BP26" s="117" t="s">
        <v>486</v>
      </c>
      <c r="BQ26" s="117" t="s">
        <v>487</v>
      </c>
      <c r="BR26" s="117" t="s">
        <v>488</v>
      </c>
      <c r="BS26" s="120" t="s">
        <v>232</v>
      </c>
      <c r="BT26" s="120" t="s">
        <v>233</v>
      </c>
      <c r="BU26" s="120" t="s">
        <v>234</v>
      </c>
      <c r="BV26" s="120" t="s">
        <v>486</v>
      </c>
      <c r="BW26" s="120" t="s">
        <v>487</v>
      </c>
      <c r="BX26" s="120" t="s">
        <v>488</v>
      </c>
      <c r="BY26" s="116" t="s">
        <v>234</v>
      </c>
      <c r="BZ26" s="116" t="s">
        <v>488</v>
      </c>
      <c r="CA26" s="25" t="s">
        <v>239</v>
      </c>
      <c r="CB26" s="25" t="s">
        <v>240</v>
      </c>
      <c r="CC26" s="25" t="s">
        <v>241</v>
      </c>
      <c r="CD26" s="25" t="s">
        <v>202</v>
      </c>
      <c r="CE26" s="25" t="s">
        <v>246</v>
      </c>
      <c r="CF26" s="18" t="s">
        <v>247</v>
      </c>
    </row>
    <row r="27" spans="1:84" s="16" customFormat="1" x14ac:dyDescent="0.25">
      <c r="A27" s="17">
        <v>21.5</v>
      </c>
      <c r="B27" s="25">
        <v>24</v>
      </c>
      <c r="C27" s="25">
        <v>52</v>
      </c>
      <c r="D27" s="25">
        <v>36.200000000000003</v>
      </c>
      <c r="E27" s="18">
        <f>IF(AND($B$16&gt;Criteria!A27,$B$16&lt;=Criteria!B27),1,0)</f>
        <v>1</v>
      </c>
      <c r="F27" s="25"/>
      <c r="G27" s="25"/>
      <c r="H27" s="18"/>
      <c r="I27" s="17" t="s">
        <v>172</v>
      </c>
      <c r="J27" s="25" t="s">
        <v>87</v>
      </c>
      <c r="K27" s="25" t="s">
        <v>87</v>
      </c>
      <c r="L27" s="25" t="s">
        <v>87</v>
      </c>
      <c r="M27" s="34">
        <v>16</v>
      </c>
      <c r="N27" s="34">
        <v>54</v>
      </c>
      <c r="O27" s="25">
        <f>IF(AND($B$14&gt;=M27,$B$14&lt;=N27),1,0)</f>
        <v>0</v>
      </c>
      <c r="P27" s="25">
        <v>48</v>
      </c>
      <c r="Q27" s="25">
        <v>72</v>
      </c>
      <c r="R27" s="25">
        <f>IF(AND(Q27="NA",K27&lt;&gt;"NA"),L27,IF(AND($B$13&gt;=P27,$B$13&lt;=Q27),1,0))</f>
        <v>0</v>
      </c>
      <c r="S27" s="25">
        <v>0.2</v>
      </c>
      <c r="T27" s="25">
        <v>4</v>
      </c>
      <c r="U27" s="25">
        <f>IF(AND($B$17&gt;=S27,$B$17&lt;=T27),1,0)</f>
        <v>1</v>
      </c>
      <c r="V27" s="25">
        <f>IF(AND(IF(L27="NA",1,L27)=1,IF(O27="NA",1,O27)=1,IF(R27="NA",1,R27)=1,IF(U27="NA",1,U27)=1),1,0)</f>
        <v>0</v>
      </c>
      <c r="W27" s="25">
        <v>2</v>
      </c>
      <c r="X27" s="18" t="str">
        <f>IF(V27=1,W27,"NA")</f>
        <v>NA</v>
      </c>
      <c r="Y27" s="17" t="s">
        <v>278</v>
      </c>
      <c r="Z27" s="13">
        <v>0</v>
      </c>
      <c r="AA27" s="13">
        <v>100</v>
      </c>
      <c r="AB27" s="13">
        <f>IF(AA27="NA",1,IF(AND($B$18&gt;=Z27,$B$18&lt;=AA27),1,0))</f>
        <v>1</v>
      </c>
      <c r="AC27" s="122">
        <v>0</v>
      </c>
      <c r="AD27" s="122">
        <f>IF($B$13-6.5&gt;AG27-6.5,AG27-6.5,$B$13-6.5)</f>
        <v>22.5</v>
      </c>
      <c r="AE27" s="122">
        <f>IF(AD27="NA",1,IF(AND($B$14&gt;=AC27,$B$14&lt;=AD27),1,0))</f>
        <v>0</v>
      </c>
      <c r="AF27" s="75">
        <v>0</v>
      </c>
      <c r="AG27" s="75">
        <v>29</v>
      </c>
      <c r="AH27" s="75">
        <f>IF(AND($B$13&gt;=AF27,$B$13&lt;=AG27),1,0)</f>
        <v>0</v>
      </c>
      <c r="AI27" s="117">
        <v>0</v>
      </c>
      <c r="AJ27" s="117">
        <f>IF($B$13-9.7&gt;AM27-9.7,AM27-9.7,$B$13-9.7)</f>
        <v>16.3</v>
      </c>
      <c r="AK27" s="117">
        <f>IF(AJ27="NA",1,IF(AND($B$14&gt;=AI27,$B$14&lt;=AJ27),1,0))</f>
        <v>0</v>
      </c>
      <c r="AL27" s="117">
        <v>0</v>
      </c>
      <c r="AM27" s="117">
        <v>26</v>
      </c>
      <c r="AN27" s="130">
        <f>IF(AM27="NA",1,IF(AND($B$13&gt;=AL27,$B$13&lt;=AM27),1,0))</f>
        <v>0</v>
      </c>
      <c r="AO27" s="120">
        <v>0</v>
      </c>
      <c r="AP27" s="120">
        <f>IF($B$13-11&gt;AS27-11,AS27-11,$B$13-11)</f>
        <v>14</v>
      </c>
      <c r="AQ27" s="120">
        <f>IF(AP27="NA",1,IF(AND($B$14&gt;=AO27,$B$14&lt;=AP27),1,0))</f>
        <v>0</v>
      </c>
      <c r="AR27" s="120">
        <v>0</v>
      </c>
      <c r="AS27" s="120">
        <v>25</v>
      </c>
      <c r="AT27" s="120">
        <f>IF(AS27="NA",1,IF(AND($B$13&gt;=AR27,$B$13&lt;=AS27),1,0))</f>
        <v>0</v>
      </c>
      <c r="AU27" s="132" t="str">
        <f>IF($C$22="M3",AE27,IF($C$22="M4",AK27,IF($C$22="M5",AQ27,"???")))</f>
        <v>???</v>
      </c>
      <c r="AV27" s="132" t="str">
        <f>IF($C$22="M3",AH27,IF($C$22="M4",AN27,IF($C$22="M5",AT27,"???")))</f>
        <v>???</v>
      </c>
      <c r="AW27" s="25">
        <v>0.2</v>
      </c>
      <c r="AX27" s="25">
        <v>4</v>
      </c>
      <c r="AY27" s="25">
        <f>IF(AND($B$17&gt;=AW27,$B$17&lt;=AX27),1,0)</f>
        <v>1</v>
      </c>
      <c r="AZ27" s="25">
        <f>IF(AND(IF(AB27="NA",1,AB27)=1,IF(AU27="NA",1,AU27)=1,IF(AV27="NA",1,AV27)=1,IF(AY27="NA",1,AY27)=1),1,0)</f>
        <v>0</v>
      </c>
      <c r="BA27" s="25">
        <v>1</v>
      </c>
      <c r="BB27" s="25" t="str">
        <f>IF(AZ27=1,BA27,"NA")</f>
        <v>NA</v>
      </c>
      <c r="BC27" s="17" t="s">
        <v>278</v>
      </c>
      <c r="BD27" s="13">
        <v>0</v>
      </c>
      <c r="BE27" s="13">
        <v>42</v>
      </c>
      <c r="BF27" s="13">
        <f>IF(BE27="NA",1,IF(AND($B$18&gt;=BD27,$B$18&lt;=BE27),1,0))</f>
        <v>0</v>
      </c>
      <c r="BG27" s="122">
        <v>0</v>
      </c>
      <c r="BH27" s="122">
        <f>IF($B$13-6.5&gt;BK27-6.5,BK27-6.5,$B$13-6.5)</f>
        <v>22.5</v>
      </c>
      <c r="BI27" s="122">
        <f>IF(BH27="NA",1,IF(AND($B$14&gt;=BG27,$B$14&lt;=BH27),1,0))</f>
        <v>0</v>
      </c>
      <c r="BJ27" s="75">
        <v>0</v>
      </c>
      <c r="BK27" s="75">
        <v>29</v>
      </c>
      <c r="BL27" s="75">
        <f>IF(AND($B$13&gt;=BJ27,$B$13&lt;=BK27),1,0)</f>
        <v>0</v>
      </c>
      <c r="BM27" s="117">
        <v>0</v>
      </c>
      <c r="BN27" s="117">
        <f>IF($B$13-9.7&gt;BQ27-9.7,BQ27-9.7,$B$13-9.7)</f>
        <v>16.3</v>
      </c>
      <c r="BO27" s="117">
        <f>IF(BN27="NA",1,IF(AND($B$14&gt;=BM27,$B$14&lt;=BN27),1,0))</f>
        <v>0</v>
      </c>
      <c r="BP27" s="117">
        <v>0</v>
      </c>
      <c r="BQ27" s="117">
        <v>26</v>
      </c>
      <c r="BR27" s="130">
        <f>IF(BQ27="NA",1,IF(AND($B$13&gt;=BP27,$B$13&lt;=BQ27),1,0))</f>
        <v>0</v>
      </c>
      <c r="BS27" s="120">
        <v>0</v>
      </c>
      <c r="BT27" s="120">
        <f>IF($B$13-11&gt;BW27-11,BW27-11,$B$13-11)</f>
        <v>14</v>
      </c>
      <c r="BU27" s="120">
        <f>IF(BT27="NA",1,IF(AND($B$14&gt;=BS27,$B$14&lt;=BT27),1,0))</f>
        <v>0</v>
      </c>
      <c r="BV27" s="120">
        <v>0</v>
      </c>
      <c r="BW27" s="120">
        <v>25</v>
      </c>
      <c r="BX27" s="120">
        <f>IF(BW27="NA",1,IF(AND($B$13&gt;=BV27,$B$13&lt;=BW27),1,0))</f>
        <v>0</v>
      </c>
      <c r="BY27" s="132" t="str">
        <f>IF($C$22="M3",BI27,IF($C$22="M4",BO27,IF($C$22="M5",BU27,"???")))</f>
        <v>???</v>
      </c>
      <c r="BZ27" s="132" t="str">
        <f>IF($C$22="M3",BL27,IF($C$22="M4",BR27,IF($C$22="M5",BX27,"???")))</f>
        <v>???</v>
      </c>
      <c r="CA27" s="13">
        <v>0.2</v>
      </c>
      <c r="CB27" s="13">
        <v>4</v>
      </c>
      <c r="CC27" s="13">
        <f>IF(AND($B$17&gt;=CA27,$B$17&lt;=CB27),1,0)</f>
        <v>1</v>
      </c>
      <c r="CD27" s="25">
        <f>IF(AND(IF(BF27="NA",1,BF27)=1,IF(BY27="NA",1,BY27)=1,IF(BZ27="NA",1,BZ27)=1,IF(CC27="NA",1,CC27)=1),1,0)</f>
        <v>0</v>
      </c>
      <c r="CE27" s="25">
        <v>1</v>
      </c>
      <c r="CF27" s="60" t="str">
        <f>IF(CD27=1,CE27,"NA")</f>
        <v>NA</v>
      </c>
    </row>
    <row r="28" spans="1:84" s="16" customFormat="1" x14ac:dyDescent="0.25">
      <c r="A28" s="17">
        <v>24</v>
      </c>
      <c r="B28" s="25">
        <v>26.5</v>
      </c>
      <c r="C28" s="25">
        <v>57</v>
      </c>
      <c r="D28" s="25">
        <v>38.700000000000003</v>
      </c>
      <c r="E28" s="18">
        <f>IF(AND($B$16&gt;Criteria!A28,$B$16&lt;=Criteria!B28),1,0)</f>
        <v>0</v>
      </c>
      <c r="F28" s="25"/>
      <c r="G28" s="25"/>
      <c r="H28" s="18"/>
      <c r="I28" s="17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18"/>
      <c r="Y28" s="17" t="s">
        <v>279</v>
      </c>
      <c r="Z28" s="13">
        <v>0</v>
      </c>
      <c r="AA28" s="13">
        <v>100</v>
      </c>
      <c r="AB28" s="13">
        <f>IF(AA28="NA",1,IF(AND($B$18&gt;=Z28,$B$18&lt;=AA28),1,0))</f>
        <v>1</v>
      </c>
      <c r="AC28" s="122">
        <v>0</v>
      </c>
      <c r="AD28" s="122">
        <f>IF($B$13-6.5&gt;AG28-6.5,AG28-6.5,$B$13-6.5)</f>
        <v>37.5</v>
      </c>
      <c r="AE28" s="122">
        <f>IF(AD28="NA",1,IF(AND($B$14&gt;=AC28,$B$14&lt;=AD28),1,0))</f>
        <v>0</v>
      </c>
      <c r="AF28" s="75">
        <v>0</v>
      </c>
      <c r="AG28" s="75">
        <v>44</v>
      </c>
      <c r="AH28" s="75">
        <f>IF(AND($B$13&gt;=AF28,$B$13&lt;=AG28),1,0)</f>
        <v>0</v>
      </c>
      <c r="AI28" s="117">
        <v>0</v>
      </c>
      <c r="AJ28" s="117">
        <f>IF($B$13-9.7&gt;AM28-9.7,AM28-9.7,$B$13-9.7)</f>
        <v>31.3</v>
      </c>
      <c r="AK28" s="117">
        <f>IF(AJ28="NA",1,IF(AND($B$14&gt;=AI28,$B$14&lt;=AJ28),1,0))</f>
        <v>0</v>
      </c>
      <c r="AL28" s="117">
        <v>0</v>
      </c>
      <c r="AM28" s="117">
        <v>41</v>
      </c>
      <c r="AN28" s="130">
        <f>IF(AM28="NA",1,IF(AND($B$13&gt;=AL28,$B$13&lt;=AM28),1,0))</f>
        <v>0</v>
      </c>
      <c r="AO28" s="120">
        <v>0</v>
      </c>
      <c r="AP28" s="120">
        <f>IF($B$13-11&gt;AS28-11,AS28-11,$B$13-11)</f>
        <v>29</v>
      </c>
      <c r="AQ28" s="120">
        <f>IF(AP28="NA",1,IF(AND($B$14&gt;=AO28,$B$14&lt;=AP28),1,0))</f>
        <v>0</v>
      </c>
      <c r="AR28" s="120">
        <v>0</v>
      </c>
      <c r="AS28" s="120">
        <v>40</v>
      </c>
      <c r="AT28" s="120">
        <f>IF(AS28="NA",1,IF(AND($B$13&gt;=AR28,$B$13&lt;=AS28),1,0))</f>
        <v>0</v>
      </c>
      <c r="AU28" s="132" t="str">
        <f>IF($C$22="M3",AE28,IF($C$22="M4",AK28,IF($C$22="M5",AQ28,"???")))</f>
        <v>???</v>
      </c>
      <c r="AV28" s="132" t="str">
        <f>IF($C$22="M3",AH28,IF($C$22="M4",AN28,IF($C$22="M5",AT28,"???")))</f>
        <v>???</v>
      </c>
      <c r="AW28" s="25">
        <v>0.2</v>
      </c>
      <c r="AX28" s="25">
        <v>4</v>
      </c>
      <c r="AY28" s="25">
        <f>IF(AND($B$17&gt;=AW28,$B$17&lt;=AX28),1,0)</f>
        <v>1</v>
      </c>
      <c r="AZ28" s="25">
        <f>IF(AND(IF(AB28="NA",1,AB28)=1,IF(AU28="NA",1,AU28)=1,IF(AV28="NA",1,AV28)=1,IF(AY28="NA",1,AY28)=1),1,0)</f>
        <v>0</v>
      </c>
      <c r="BA28" s="25">
        <v>3</v>
      </c>
      <c r="BB28" s="25" t="str">
        <f>IF(AZ28=1,BA28,"NA")</f>
        <v>NA</v>
      </c>
      <c r="BC28" s="17" t="s">
        <v>279</v>
      </c>
      <c r="BD28" s="13">
        <v>0</v>
      </c>
      <c r="BE28" s="13">
        <v>60</v>
      </c>
      <c r="BF28" s="13">
        <f>IF(BE28="NA",1,IF(AND($B$18&gt;=BD28,$B$18&lt;=BE28),1,0))</f>
        <v>0</v>
      </c>
      <c r="BG28" s="122">
        <v>0</v>
      </c>
      <c r="BH28" s="122">
        <f>IF($B$13-6.5&gt;BK28-6.5,BK28-6.5,$B$13-6.5)</f>
        <v>37.5</v>
      </c>
      <c r="BI28" s="122">
        <f>IF(BH28="NA",1,IF(AND($B$14&gt;=BG28,$B$14&lt;=BH28),1,0))</f>
        <v>0</v>
      </c>
      <c r="BJ28" s="75">
        <v>0</v>
      </c>
      <c r="BK28" s="75">
        <v>44</v>
      </c>
      <c r="BL28" s="75">
        <f>IF(AND($B$13&gt;=BJ28,$B$13&lt;=BK28),1,0)</f>
        <v>0</v>
      </c>
      <c r="BM28" s="117">
        <v>0</v>
      </c>
      <c r="BN28" s="117">
        <f>IF($B$13-9.7&gt;BQ28-9.7,BQ28-9.7,$B$13-9.7)</f>
        <v>31.3</v>
      </c>
      <c r="BO28" s="117">
        <f>IF(BN28="NA",1,IF(AND($B$14&gt;=BM28,$B$14&lt;=BN28),1,0))</f>
        <v>0</v>
      </c>
      <c r="BP28" s="117">
        <v>0</v>
      </c>
      <c r="BQ28" s="117">
        <v>41</v>
      </c>
      <c r="BR28" s="130">
        <f>IF(BQ28="NA",1,IF(AND($B$13&gt;=BP28,$B$13&lt;=BQ28),1,0))</f>
        <v>0</v>
      </c>
      <c r="BS28" s="120">
        <v>0</v>
      </c>
      <c r="BT28" s="120">
        <f>IF($B$13-11&gt;BW28-11,BW28-11,$B$13-11)</f>
        <v>29</v>
      </c>
      <c r="BU28" s="120">
        <f>IF(BT28="NA",1,IF(AND($B$14&gt;=BS28,$B$14&lt;=BT28),1,0))</f>
        <v>0</v>
      </c>
      <c r="BV28" s="120">
        <v>0</v>
      </c>
      <c r="BW28" s="120">
        <v>40</v>
      </c>
      <c r="BX28" s="120">
        <f>IF(BW28="NA",1,IF(AND($B$13&gt;=BV28,$B$13&lt;=BW28),1,0))</f>
        <v>0</v>
      </c>
      <c r="BY28" s="132" t="str">
        <f>IF($C$22="M3",BI28,IF($C$22="M4",BO28,IF($C$22="M5",BU28,"???")))</f>
        <v>???</v>
      </c>
      <c r="BZ28" s="132" t="str">
        <f>IF($C$22="M3",BL28,IF($C$22="M4",BR28,IF($C$22="M5",BX28,"???")))</f>
        <v>???</v>
      </c>
      <c r="CA28" s="13">
        <v>0.2</v>
      </c>
      <c r="CB28" s="13">
        <v>4</v>
      </c>
      <c r="CC28" s="13">
        <f>IF(AND($B$17&gt;=CA28,$B$17&lt;=CB28),1,0)</f>
        <v>1</v>
      </c>
      <c r="CD28" s="25">
        <f>IF(AND(IF(BF28="NA",1,BF28)=1,IF(BY28="NA",1,BY28)=1,IF(BZ28="NA",1,BZ28)=1,IF(CC28="NA",1,CC28)=1),1,0)</f>
        <v>0</v>
      </c>
      <c r="CE28" s="25">
        <v>4</v>
      </c>
      <c r="CF28" s="60" t="str">
        <f>IF(CD28=1,CE28,"NA")</f>
        <v>NA</v>
      </c>
    </row>
    <row r="29" spans="1:84" s="16" customFormat="1" x14ac:dyDescent="0.25">
      <c r="A29" s="17">
        <v>26.5</v>
      </c>
      <c r="B29" s="25">
        <v>29</v>
      </c>
      <c r="C29" s="25">
        <v>57</v>
      </c>
      <c r="D29" s="25">
        <v>36.200000000000003</v>
      </c>
      <c r="E29" s="18">
        <f>IF(AND($B$16&gt;Criteria!A29,$B$16&lt;=Criteria!B29),1,0)</f>
        <v>0</v>
      </c>
      <c r="F29" s="25"/>
      <c r="G29" s="25"/>
      <c r="H29" s="18"/>
      <c r="I29" s="17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18"/>
      <c r="Y29" s="17" t="s">
        <v>172</v>
      </c>
      <c r="Z29" s="13" t="s">
        <v>87</v>
      </c>
      <c r="AA29" s="13" t="s">
        <v>87</v>
      </c>
      <c r="AB29" s="13">
        <f>IF(AA29="NA",1,IF(AND($B$18&gt;=Z29,$B$18&lt;=AA29),1,0))</f>
        <v>1</v>
      </c>
      <c r="AC29" s="122">
        <v>0</v>
      </c>
      <c r="AD29" s="122">
        <v>68</v>
      </c>
      <c r="AE29" s="122">
        <f>IF(AD29="NA",1,IF(AND($B$14&gt;=AC29,$B$14&lt;=AD29),1,0))</f>
        <v>1</v>
      </c>
      <c r="AF29" s="122">
        <v>55</v>
      </c>
      <c r="AG29" s="122">
        <v>70</v>
      </c>
      <c r="AH29" s="75">
        <f>IF(AND($B$13&gt;=AF29,$B$13&lt;=AG29),1,0)</f>
        <v>0</v>
      </c>
      <c r="AI29" s="130">
        <v>0</v>
      </c>
      <c r="AJ29" s="130">
        <v>68</v>
      </c>
      <c r="AK29" s="117">
        <f>IF(AJ29="NA",1,IF(AND($B$14&gt;=AI29,$B$14&lt;=AJ29),1,0))</f>
        <v>1</v>
      </c>
      <c r="AL29" s="130">
        <v>55</v>
      </c>
      <c r="AM29" s="130">
        <v>70</v>
      </c>
      <c r="AN29" s="130">
        <f>IF(AM29="NA",1,IF(AND($B$13&gt;=AL29,$B$13&lt;=AM29),1,0))</f>
        <v>0</v>
      </c>
      <c r="AO29" s="131" t="s">
        <v>87</v>
      </c>
      <c r="AP29" s="131">
        <v>68</v>
      </c>
      <c r="AQ29" s="120">
        <f>IF(AP29="NA",1,IF(AND($B$14&gt;=AO29,$B$14&lt;=AP29),1,0))</f>
        <v>0</v>
      </c>
      <c r="AR29" s="131">
        <v>55</v>
      </c>
      <c r="AS29" s="131">
        <v>70</v>
      </c>
      <c r="AT29" s="120">
        <f>IF(AS29="NA",1,IF(AND($B$13&gt;=AR29,$B$13&lt;=AS29),1,0))</f>
        <v>0</v>
      </c>
      <c r="AU29" s="132" t="str">
        <f>IF($C$22="M3",AE29,IF($C$22="M4",AK29,IF($C$22="M5",AQ29,"???")))</f>
        <v>???</v>
      </c>
      <c r="AV29" s="132" t="str">
        <f>IF($C$22="M3",AH29,IF($C$22="M4",AN29,IF($C$22="M5",AT29,"???")))</f>
        <v>???</v>
      </c>
      <c r="AW29" s="25">
        <v>0.2</v>
      </c>
      <c r="AX29" s="25">
        <v>4</v>
      </c>
      <c r="AY29" s="25">
        <f>IF(AND($B$17&gt;=AW29,$B$17&lt;=AX29),1,0)</f>
        <v>1</v>
      </c>
      <c r="AZ29" s="25">
        <f>IF(AND(IF(AB29="NA",1,AB29)=1,IF(AU29="NA",1,AU29)=1,IF(AV29="NA",1,AV29)=1,IF(AY29="NA",1,AY29)=1),1,0)</f>
        <v>0</v>
      </c>
      <c r="BA29" s="25">
        <v>2</v>
      </c>
      <c r="BB29" s="25" t="str">
        <f>IF(AZ29=1,BA29,"NA")</f>
        <v>NA</v>
      </c>
      <c r="BC29" s="17" t="s">
        <v>172</v>
      </c>
      <c r="BD29" s="13" t="s">
        <v>87</v>
      </c>
      <c r="BE29" s="13" t="s">
        <v>87</v>
      </c>
      <c r="BF29" s="13">
        <f>IF(BE29="NA",1,IF(AND($B$18&gt;=BD29,$B$18&lt;=BE29),1,0))</f>
        <v>1</v>
      </c>
      <c r="BG29" s="122">
        <v>5</v>
      </c>
      <c r="BH29" s="122">
        <v>51</v>
      </c>
      <c r="BI29" s="122">
        <f>IF(BH29="NA",1,IF(AND($B$14&gt;=BG29,$B$14&lt;=BH29),1,0))</f>
        <v>0</v>
      </c>
      <c r="BJ29" s="122">
        <v>45</v>
      </c>
      <c r="BK29" s="122">
        <v>50</v>
      </c>
      <c r="BL29" s="75">
        <f>IF(AND(BK29="NA",BE29&lt;&gt;"NA"),BF29,IF(AND($B$13&gt;=BJ29,$B$13&lt;=BK29),1,0))</f>
        <v>0</v>
      </c>
      <c r="BM29" s="130">
        <v>0</v>
      </c>
      <c r="BN29" s="130">
        <v>68</v>
      </c>
      <c r="BO29" s="117">
        <f>IF(BN29="NA",1,IF(AND($B$14&gt;=BM29,$B$14&lt;=BN29),1,0))</f>
        <v>1</v>
      </c>
      <c r="BP29" s="130">
        <v>55</v>
      </c>
      <c r="BQ29" s="130">
        <v>70</v>
      </c>
      <c r="BR29" s="130">
        <f>IF(BQ29="NA",1,IF(AND($B$13&gt;=BP29,$B$13&lt;=BQ29),1,0))</f>
        <v>0</v>
      </c>
      <c r="BS29" s="131" t="s">
        <v>87</v>
      </c>
      <c r="BT29" s="131">
        <v>68</v>
      </c>
      <c r="BU29" s="120">
        <f>IF(BT29="NA",1,IF(AND($B$14&gt;=BS29,$B$14&lt;=BT29),1,0))</f>
        <v>0</v>
      </c>
      <c r="BV29" s="131">
        <v>55</v>
      </c>
      <c r="BW29" s="131">
        <v>70</v>
      </c>
      <c r="BX29" s="120">
        <f>IF(BW29="NA",1,IF(AND($B$13&gt;=BV29,$B$13&lt;=BW29),1,0))</f>
        <v>0</v>
      </c>
      <c r="BY29" s="132" t="str">
        <f>IF($C$22="M3",BI29,IF($C$22="M4",BO29,IF($C$22="M5",BU29,"???")))</f>
        <v>???</v>
      </c>
      <c r="BZ29" s="132" t="str">
        <f>IF($C$22="M3",BL29,IF($C$22="M4",BR29,IF($C$22="M5",BX29,"???")))</f>
        <v>???</v>
      </c>
      <c r="CA29" s="13">
        <v>0.2</v>
      </c>
      <c r="CB29" s="13">
        <v>4</v>
      </c>
      <c r="CC29" s="13">
        <f>IF(AND($B$17&gt;=CA29,$B$17&lt;=CB29),1,0)</f>
        <v>1</v>
      </c>
      <c r="CD29" s="25">
        <f>IF(AND(IF(BF29="NA",1,BF29)=1,IF(BY29="NA",1,BY29)=1,IF(BZ29="NA",1,BZ29)=1,IF(CC29="NA",1,CC29)=1),1,0)</f>
        <v>0</v>
      </c>
      <c r="CE29" s="25">
        <v>2</v>
      </c>
      <c r="CF29" s="60" t="str">
        <f>IF(CD29=1,CE29,"NA")</f>
        <v>NA</v>
      </c>
    </row>
    <row r="30" spans="1:84" s="16" customFormat="1" x14ac:dyDescent="0.25">
      <c r="A30" s="17">
        <v>29</v>
      </c>
      <c r="B30" s="25">
        <v>31.5</v>
      </c>
      <c r="C30" s="25">
        <v>62</v>
      </c>
      <c r="D30" s="25">
        <v>38.700000000000003</v>
      </c>
      <c r="E30" s="18">
        <f>IF(AND($B$16&gt;Criteria!A30,$B$16&lt;=Criteria!B30),1,0)</f>
        <v>0</v>
      </c>
      <c r="F30" s="25"/>
      <c r="G30" s="25"/>
      <c r="H30" s="18"/>
      <c r="I30" s="17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18"/>
      <c r="Y30" s="17"/>
      <c r="Z30" s="25"/>
      <c r="AA30" s="25"/>
      <c r="AB30" s="25"/>
      <c r="AC30" s="75"/>
      <c r="AD30" s="75"/>
      <c r="AE30" s="75"/>
      <c r="AF30" s="75"/>
      <c r="AG30" s="75"/>
      <c r="AH30" s="75"/>
      <c r="AI30" s="117"/>
      <c r="AJ30" s="117"/>
      <c r="AK30" s="117"/>
      <c r="AL30" s="117"/>
      <c r="AM30" s="117"/>
      <c r="AN30" s="117"/>
      <c r="AO30" s="120"/>
      <c r="AP30" s="120"/>
      <c r="AQ30" s="120"/>
      <c r="AR30" s="120"/>
      <c r="AS30" s="120"/>
      <c r="AT30" s="120"/>
      <c r="AU30" s="132"/>
      <c r="AV30" s="132"/>
      <c r="AW30" s="25"/>
      <c r="AX30" s="25"/>
      <c r="AY30" s="25"/>
      <c r="AZ30" s="25"/>
      <c r="BA30" s="25"/>
      <c r="BB30" s="25"/>
      <c r="BC30" s="17" t="s">
        <v>172</v>
      </c>
      <c r="BD30" s="13" t="s">
        <v>87</v>
      </c>
      <c r="BE30" s="13" t="s">
        <v>87</v>
      </c>
      <c r="BF30" s="13">
        <f>IF(BE30="NA",1,IF(AND($B$18&gt;=BD30,$B$18&lt;=BE30),1,0))</f>
        <v>1</v>
      </c>
      <c r="BG30" s="75">
        <v>5</v>
      </c>
      <c r="BH30" s="75">
        <v>51</v>
      </c>
      <c r="BI30" s="122">
        <f>IF(BH30="NA",1,IF(AND($B$14&gt;=BG30,$B$14&lt;=BH30),1,0))</f>
        <v>0</v>
      </c>
      <c r="BJ30" s="75">
        <v>55</v>
      </c>
      <c r="BK30" s="75">
        <v>70</v>
      </c>
      <c r="BL30" s="75">
        <f>IF(AND(BK30="NA",BE30&lt;&gt;"NA"),BF30,IF(AND($B$13&gt;=BJ30,$B$13&lt;=BK30),1,0))</f>
        <v>0</v>
      </c>
      <c r="BM30" s="117">
        <v>5</v>
      </c>
      <c r="BN30" s="117">
        <v>51</v>
      </c>
      <c r="BO30" s="117">
        <f>IF(BN30="NA",1,IF(AND($B$14&gt;=BM30,$B$14&lt;=BN30),1,0))</f>
        <v>0</v>
      </c>
      <c r="BP30" s="117">
        <v>55</v>
      </c>
      <c r="BQ30" s="117">
        <v>70</v>
      </c>
      <c r="BR30" s="117">
        <f>IF(AND(BQ30="NA",BK30&lt;&gt;"NA"),BL30,IF(AND($B$13&gt;=BP30,$B$13&lt;=BQ30),1,0))</f>
        <v>0</v>
      </c>
      <c r="BS30" s="120">
        <v>5</v>
      </c>
      <c r="BT30" s="120">
        <v>51</v>
      </c>
      <c r="BU30" s="120">
        <f>IF(BT30="NA",1,IF(AND($B$14&gt;=BS30,$B$14&lt;=BT30),1,0))</f>
        <v>0</v>
      </c>
      <c r="BV30" s="120">
        <v>55</v>
      </c>
      <c r="BW30" s="120">
        <v>70</v>
      </c>
      <c r="BX30" s="120">
        <f>IF(AND(BW30="NA",BQ30&lt;&gt;"NA"),BR30,IF(AND($B$13&gt;=BV30,$B$13&lt;=BW30),1,0))</f>
        <v>0</v>
      </c>
      <c r="BY30" s="132"/>
      <c r="BZ30" s="132"/>
      <c r="CA30" s="13">
        <v>0.2</v>
      </c>
      <c r="CB30" s="13">
        <v>4</v>
      </c>
      <c r="CC30" s="13">
        <f>IF(AND($B$17&gt;=CA30,$B$17&lt;=CB30),1,0)</f>
        <v>1</v>
      </c>
      <c r="CD30" s="25">
        <f>IF(AND(IF(BF30="NA",1,BF30)=1,IF(BY30="NA",1,BY30)=1,IF(BZ30="NA",1,BZ30)=1,IF(CC30="NA",1,CC30)=1),1,0)</f>
        <v>0</v>
      </c>
      <c r="CE30" s="34">
        <v>3</v>
      </c>
      <c r="CF30" s="60" t="str">
        <f>IF(CD30=1,CE30,"NA")</f>
        <v>NA</v>
      </c>
    </row>
    <row r="31" spans="1:84" s="16" customFormat="1" x14ac:dyDescent="0.25">
      <c r="A31" s="17">
        <v>31.5</v>
      </c>
      <c r="B31" s="25">
        <v>34</v>
      </c>
      <c r="C31" s="25">
        <v>62</v>
      </c>
      <c r="D31" s="25">
        <v>36.200000000000003</v>
      </c>
      <c r="E31" s="18">
        <f>IF(AND($B$16&gt;Criteria!A31,$B$16&lt;=Criteria!B31),1,0)</f>
        <v>0</v>
      </c>
      <c r="F31" s="25"/>
      <c r="G31" s="25"/>
      <c r="H31" s="18"/>
      <c r="I31" s="17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18"/>
      <c r="Y31" s="17"/>
      <c r="Z31" s="25"/>
      <c r="AA31" s="25"/>
      <c r="AB31" s="25"/>
      <c r="AC31" s="75"/>
      <c r="AD31" s="75"/>
      <c r="AE31" s="75"/>
      <c r="AF31" s="75"/>
      <c r="AG31" s="75"/>
      <c r="AH31" s="75"/>
      <c r="AI31" s="117"/>
      <c r="AJ31" s="117"/>
      <c r="AK31" s="117"/>
      <c r="AL31" s="117"/>
      <c r="AM31" s="117"/>
      <c r="AN31" s="117"/>
      <c r="AO31" s="120"/>
      <c r="AP31" s="120"/>
      <c r="AQ31" s="120"/>
      <c r="AR31" s="120"/>
      <c r="AS31" s="120"/>
      <c r="AT31" s="120"/>
      <c r="AU31" s="132"/>
      <c r="AV31" s="132"/>
      <c r="AW31" s="25"/>
      <c r="AX31" s="25"/>
      <c r="AY31" s="25"/>
      <c r="AZ31" s="25"/>
      <c r="BA31" s="25"/>
      <c r="BB31" s="25"/>
      <c r="BC31" s="17"/>
      <c r="BD31" s="13"/>
      <c r="BE31" s="13"/>
      <c r="BF31" s="13"/>
      <c r="BG31" s="75"/>
      <c r="BH31" s="75"/>
      <c r="BI31" s="75"/>
      <c r="BJ31" s="75"/>
      <c r="BK31" s="75"/>
      <c r="BL31" s="75"/>
      <c r="BM31" s="117"/>
      <c r="BN31" s="117"/>
      <c r="BO31" s="117"/>
      <c r="BP31" s="117"/>
      <c r="BQ31" s="117"/>
      <c r="BR31" s="117"/>
      <c r="BS31" s="120"/>
      <c r="BT31" s="120"/>
      <c r="BU31" s="120"/>
      <c r="BV31" s="120"/>
      <c r="BW31" s="120"/>
      <c r="BX31" s="120"/>
      <c r="BY31" s="132"/>
      <c r="BZ31" s="132"/>
      <c r="CA31" s="13"/>
      <c r="CB31" s="13"/>
      <c r="CC31" s="13"/>
      <c r="CD31" s="13"/>
      <c r="CE31" s="25"/>
      <c r="CF31" s="18"/>
    </row>
    <row r="32" spans="1:84" s="16" customFormat="1" x14ac:dyDescent="0.25">
      <c r="A32" s="17">
        <v>34</v>
      </c>
      <c r="B32" s="25">
        <v>36.5</v>
      </c>
      <c r="C32" s="25">
        <v>67</v>
      </c>
      <c r="D32" s="25">
        <v>38.700000000000003</v>
      </c>
      <c r="E32" s="18">
        <f>IF(AND($B$16&gt;Criteria!A32,$B$16&lt;=Criteria!B32),1,0)</f>
        <v>0</v>
      </c>
      <c r="F32" s="25"/>
      <c r="G32" s="25"/>
      <c r="H32" s="18"/>
      <c r="I32" s="17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18"/>
      <c r="Y32" s="17"/>
      <c r="Z32" s="25"/>
      <c r="AA32" s="25"/>
      <c r="AB32" s="25"/>
      <c r="AC32" s="75"/>
      <c r="AD32" s="75"/>
      <c r="AE32" s="75"/>
      <c r="AF32" s="75"/>
      <c r="AG32" s="75"/>
      <c r="AH32" s="75"/>
      <c r="AI32" s="117"/>
      <c r="AJ32" s="117"/>
      <c r="AK32" s="117"/>
      <c r="AL32" s="117"/>
      <c r="AM32" s="117"/>
      <c r="AN32" s="117"/>
      <c r="AO32" s="120"/>
      <c r="AP32" s="120"/>
      <c r="AQ32" s="120"/>
      <c r="AR32" s="120"/>
      <c r="AS32" s="120"/>
      <c r="AT32" s="120"/>
      <c r="AU32" s="132"/>
      <c r="AV32" s="132"/>
      <c r="AW32" s="25"/>
      <c r="AX32" s="25"/>
      <c r="AY32" s="25"/>
      <c r="AZ32" s="25"/>
      <c r="BA32" s="25"/>
      <c r="BB32" s="25"/>
      <c r="BC32" s="17"/>
      <c r="BD32" s="13"/>
      <c r="BE32" s="13"/>
      <c r="BF32" s="13"/>
      <c r="BG32" s="75"/>
      <c r="BH32" s="75"/>
      <c r="BI32" s="75"/>
      <c r="BJ32" s="75"/>
      <c r="BK32" s="75"/>
      <c r="BL32" s="75"/>
      <c r="BM32" s="117"/>
      <c r="BN32" s="117"/>
      <c r="BO32" s="117"/>
      <c r="BP32" s="117"/>
      <c r="BQ32" s="117"/>
      <c r="BR32" s="117"/>
      <c r="BS32" s="120"/>
      <c r="BT32" s="120"/>
      <c r="BU32" s="120"/>
      <c r="BV32" s="120"/>
      <c r="BW32" s="120"/>
      <c r="BX32" s="120"/>
      <c r="BY32" s="132"/>
      <c r="BZ32" s="132"/>
      <c r="CA32" s="13"/>
      <c r="CB32" s="13"/>
      <c r="CC32" s="13"/>
      <c r="CD32" s="13"/>
      <c r="CE32" s="25"/>
      <c r="CF32" s="18"/>
    </row>
    <row r="33" spans="1:84" s="16" customFormat="1" x14ac:dyDescent="0.25">
      <c r="A33" s="17">
        <v>36.5</v>
      </c>
      <c r="B33" s="25">
        <v>39</v>
      </c>
      <c r="C33" s="25">
        <v>67</v>
      </c>
      <c r="D33" s="25">
        <v>36.200000000000003</v>
      </c>
      <c r="E33" s="18">
        <f>IF(AND($B$16&gt;Criteria!A33,$B$16&lt;=Criteria!B33),1,0)</f>
        <v>0</v>
      </c>
      <c r="F33" s="25"/>
      <c r="G33" s="25"/>
      <c r="H33" s="18"/>
      <c r="I33" s="17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18"/>
      <c r="Y33" s="17"/>
      <c r="Z33" s="25"/>
      <c r="AA33" s="25"/>
      <c r="AB33" s="25"/>
      <c r="AC33" s="75"/>
      <c r="AD33" s="75"/>
      <c r="AE33" s="75"/>
      <c r="AF33" s="75"/>
      <c r="AG33" s="75"/>
      <c r="AH33" s="75"/>
      <c r="AI33" s="117"/>
      <c r="AJ33" s="117"/>
      <c r="AK33" s="117"/>
      <c r="AL33" s="117"/>
      <c r="AM33" s="117"/>
      <c r="AN33" s="117"/>
      <c r="AO33" s="120"/>
      <c r="AP33" s="120"/>
      <c r="AQ33" s="120"/>
      <c r="AR33" s="120"/>
      <c r="AS33" s="120"/>
      <c r="AT33" s="120"/>
      <c r="AU33" s="132"/>
      <c r="AV33" s="132"/>
      <c r="AW33" s="25"/>
      <c r="AX33" s="25"/>
      <c r="AY33" s="25"/>
      <c r="AZ33" s="25"/>
      <c r="BA33" s="25"/>
      <c r="BB33" s="25"/>
      <c r="BC33" s="19"/>
      <c r="BD33" s="47"/>
      <c r="BE33" s="47"/>
      <c r="BF33" s="47"/>
      <c r="BG33" s="78"/>
      <c r="BH33" s="78"/>
      <c r="BI33" s="78"/>
      <c r="BJ33" s="78"/>
      <c r="BK33" s="78"/>
      <c r="BL33" s="78"/>
      <c r="BM33" s="146"/>
      <c r="BN33" s="146"/>
      <c r="BO33" s="146"/>
      <c r="BP33" s="146"/>
      <c r="BQ33" s="146"/>
      <c r="BR33" s="146"/>
      <c r="BS33" s="147"/>
      <c r="BT33" s="147"/>
      <c r="BU33" s="147"/>
      <c r="BV33" s="147"/>
      <c r="BW33" s="147"/>
      <c r="BX33" s="147"/>
      <c r="BY33" s="148"/>
      <c r="BZ33" s="148"/>
      <c r="CA33" s="47"/>
      <c r="CB33" s="47"/>
      <c r="CC33" s="47"/>
      <c r="CD33" s="47"/>
      <c r="CE33" s="24"/>
      <c r="CF33" s="20"/>
    </row>
    <row r="34" spans="1:84" s="16" customFormat="1" x14ac:dyDescent="0.25">
      <c r="A34" s="43"/>
      <c r="B34" s="44"/>
      <c r="C34" s="44"/>
      <c r="D34" s="44"/>
      <c r="E34" s="45">
        <f>SUM(E26:E33)</f>
        <v>1</v>
      </c>
      <c r="F34" s="44"/>
      <c r="G34" s="44"/>
      <c r="H34" s="44">
        <f>SUM(H26:H33)</f>
        <v>1</v>
      </c>
      <c r="I34" s="43"/>
      <c r="J34" s="44"/>
      <c r="K34" s="44"/>
      <c r="L34" s="44"/>
      <c r="M34" s="44"/>
      <c r="N34" s="44"/>
      <c r="O34" s="44">
        <f>IF(SUM(O26:O33)&gt;=1,1,0)</f>
        <v>0</v>
      </c>
      <c r="P34" s="44"/>
      <c r="Q34" s="44"/>
      <c r="R34" s="44">
        <f>IF(SUM(R26:R33)&gt;=1,1,0)</f>
        <v>0</v>
      </c>
      <c r="S34" s="44"/>
      <c r="T34" s="44"/>
      <c r="U34" s="44">
        <f>IF(SUM(U26:U33)&gt;=1,1,0)</f>
        <v>1</v>
      </c>
      <c r="V34" s="44">
        <f>IF(SUM(V26:V33)&gt;=1,1,0)</f>
        <v>0</v>
      </c>
      <c r="W34" s="44"/>
      <c r="X34" s="45"/>
      <c r="Y34" s="43"/>
      <c r="Z34" s="44"/>
      <c r="AA34" s="44"/>
      <c r="AB34" s="44">
        <f>IF(SUM(AB27:AB33)&gt;=1,1,0)</f>
        <v>1</v>
      </c>
      <c r="AC34" s="114"/>
      <c r="AD34" s="114"/>
      <c r="AE34" s="114">
        <f>IF(SUM(AE27:AE33)&gt;=1,1,0)</f>
        <v>1</v>
      </c>
      <c r="AF34" s="114"/>
      <c r="AG34" s="114"/>
      <c r="AH34" s="114">
        <f>IF(SUM(AH27:AH33)&gt;=1,1,0)</f>
        <v>0</v>
      </c>
      <c r="AI34" s="118"/>
      <c r="AJ34" s="118"/>
      <c r="AK34" s="118">
        <f>IF(SUM(AK27:AK33)&gt;=1,1,0)</f>
        <v>1</v>
      </c>
      <c r="AL34" s="118"/>
      <c r="AM34" s="118"/>
      <c r="AN34" s="118">
        <f>IF(SUM(AN27:AN33)&gt;=1,1,0)</f>
        <v>0</v>
      </c>
      <c r="AO34" s="121"/>
      <c r="AP34" s="121"/>
      <c r="AQ34" s="121">
        <f>IF(SUM(AQ27:AQ33)&gt;=1,1,0)</f>
        <v>0</v>
      </c>
      <c r="AR34" s="121"/>
      <c r="AS34" s="121"/>
      <c r="AT34" s="121">
        <f>IF(SUM(AT27:AT33)&gt;=1,1,0)</f>
        <v>0</v>
      </c>
      <c r="AU34" s="133">
        <f>IF(SUM(AU27:AU33)&gt;=1,1,0)</f>
        <v>0</v>
      </c>
      <c r="AV34" s="133">
        <f>IF(SUM(AV27:AV33)&gt;=1,1,0)</f>
        <v>0</v>
      </c>
      <c r="AW34" s="44"/>
      <c r="AX34" s="44"/>
      <c r="AY34" s="44">
        <f>IF(SUM(AY27:AY33)&gt;=1,1,0)</f>
        <v>1</v>
      </c>
      <c r="AZ34" s="44">
        <f>IF(SUM(AZ27:AZ33)&gt;=1,1,0)</f>
        <v>0</v>
      </c>
      <c r="BA34" s="44"/>
      <c r="BB34" s="44"/>
      <c r="BC34" s="43"/>
      <c r="BD34" s="61"/>
      <c r="BE34" s="61"/>
      <c r="BF34" s="61">
        <f>IF(SUM(BF27:BF33)&gt;=1,1,0)</f>
        <v>1</v>
      </c>
      <c r="BG34" s="114"/>
      <c r="BH34" s="114"/>
      <c r="BI34" s="114">
        <f>IF(SUM(BI27:BI33)&gt;=1,1,0)</f>
        <v>0</v>
      </c>
      <c r="BJ34" s="114"/>
      <c r="BK34" s="114"/>
      <c r="BL34" s="114">
        <f>IF(SUM(BL27:BL33)&gt;=1,1,0)</f>
        <v>0</v>
      </c>
      <c r="BM34" s="118"/>
      <c r="BN34" s="118"/>
      <c r="BO34" s="118">
        <f>IF(SUM(BO27:BO33)&gt;=1,1,0)</f>
        <v>1</v>
      </c>
      <c r="BP34" s="118"/>
      <c r="BQ34" s="118"/>
      <c r="BR34" s="118">
        <f>IF(SUM(BR27:BR33)&gt;=1,1,0)</f>
        <v>0</v>
      </c>
      <c r="BS34" s="121"/>
      <c r="BT34" s="121"/>
      <c r="BU34" s="121">
        <f>IF(SUM(BU27:BU33)&gt;=1,1,0)</f>
        <v>0</v>
      </c>
      <c r="BV34" s="121"/>
      <c r="BW34" s="121"/>
      <c r="BX34" s="121">
        <f>IF(SUM(BX27:BX33)&gt;=1,1,0)</f>
        <v>0</v>
      </c>
      <c r="BY34" s="133">
        <f>IF(SUM(BY27:BY33)&gt;=1,1,0)</f>
        <v>0</v>
      </c>
      <c r="BZ34" s="133">
        <f>IF(SUM(BZ27:BZ33)&gt;=1,1,0)</f>
        <v>0</v>
      </c>
      <c r="CA34" s="61"/>
      <c r="CB34" s="61"/>
      <c r="CC34" s="61">
        <f>IF(SUM(CC27:CC33)&gt;=1,1,0)</f>
        <v>1</v>
      </c>
      <c r="CD34" s="61">
        <f>IF(SUM(CD27:CD33)&gt;=1,1,0)</f>
        <v>0</v>
      </c>
      <c r="CE34" s="44"/>
      <c r="CF34" s="45"/>
    </row>
    <row r="35" spans="1:84" s="16" customFormat="1" x14ac:dyDescent="0.25"/>
    <row r="36" spans="1:84" s="16" customFormat="1" x14ac:dyDescent="0.25"/>
    <row r="37" spans="1:84" s="16" customFormat="1" x14ac:dyDescent="0.25">
      <c r="A37" s="54" t="s">
        <v>78</v>
      </c>
      <c r="I37" s="54" t="s">
        <v>78</v>
      </c>
      <c r="J37" s="54"/>
      <c r="K37" s="54"/>
      <c r="L37" s="54"/>
      <c r="Y37" s="54" t="s">
        <v>78</v>
      </c>
      <c r="AI37" s="103"/>
      <c r="AJ37" s="103"/>
      <c r="AK37" s="103"/>
      <c r="AL37" s="103"/>
      <c r="AM37" s="103"/>
      <c r="AN37" s="103"/>
      <c r="AU37" s="103"/>
      <c r="AV37" s="103"/>
      <c r="BC37" s="54" t="s">
        <v>78</v>
      </c>
    </row>
    <row r="38" spans="1:84" s="16" customFormat="1" x14ac:dyDescent="0.25">
      <c r="A38" s="58" t="s">
        <v>254</v>
      </c>
      <c r="B38" s="59"/>
      <c r="C38" s="59"/>
      <c r="D38" s="59"/>
      <c r="E38" s="44"/>
      <c r="F38" s="44"/>
      <c r="G38" s="44"/>
      <c r="H38" s="45"/>
      <c r="I38" s="50" t="s">
        <v>248</v>
      </c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2"/>
      <c r="Y38" s="43" t="s">
        <v>235</v>
      </c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3" t="s">
        <v>242</v>
      </c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5"/>
    </row>
    <row r="39" spans="1:84" s="16" customFormat="1" x14ac:dyDescent="0.25">
      <c r="A39" s="21" t="s">
        <v>251</v>
      </c>
      <c r="B39" s="22" t="s">
        <v>252</v>
      </c>
      <c r="C39" s="22" t="s">
        <v>162</v>
      </c>
      <c r="D39" s="22" t="s">
        <v>3</v>
      </c>
      <c r="E39" s="23" t="s">
        <v>261</v>
      </c>
      <c r="F39" s="25" t="s">
        <v>255</v>
      </c>
      <c r="G39" s="25" t="s">
        <v>256</v>
      </c>
      <c r="H39" s="18" t="s">
        <v>262</v>
      </c>
      <c r="I39" s="55" t="s">
        <v>231</v>
      </c>
      <c r="J39" s="56" t="s">
        <v>236</v>
      </c>
      <c r="K39" s="56" t="s">
        <v>237</v>
      </c>
      <c r="L39" s="56" t="s">
        <v>238</v>
      </c>
      <c r="M39" s="56" t="s">
        <v>232</v>
      </c>
      <c r="N39" s="56" t="s">
        <v>233</v>
      </c>
      <c r="O39" s="56" t="s">
        <v>234</v>
      </c>
      <c r="P39" s="56" t="s">
        <v>486</v>
      </c>
      <c r="Q39" s="56" t="s">
        <v>487</v>
      </c>
      <c r="R39" s="56" t="s">
        <v>488</v>
      </c>
      <c r="S39" s="56" t="s">
        <v>239</v>
      </c>
      <c r="T39" s="56" t="s">
        <v>240</v>
      </c>
      <c r="U39" s="56" t="s">
        <v>241</v>
      </c>
      <c r="V39" s="56" t="s">
        <v>202</v>
      </c>
      <c r="W39" s="56" t="s">
        <v>246</v>
      </c>
      <c r="X39" s="57" t="s">
        <v>247</v>
      </c>
      <c r="AC39" s="126" t="s">
        <v>105</v>
      </c>
      <c r="AD39" s="75"/>
      <c r="AE39" s="75"/>
      <c r="AF39" s="75"/>
      <c r="AG39" s="75"/>
      <c r="AH39" s="75"/>
      <c r="AI39" s="127" t="s">
        <v>7</v>
      </c>
      <c r="AJ39" s="104"/>
      <c r="AK39" s="104"/>
      <c r="AL39" s="104"/>
      <c r="AM39" s="104"/>
      <c r="AN39" s="104"/>
      <c r="AO39" s="128" t="s">
        <v>45</v>
      </c>
      <c r="AP39" s="129"/>
      <c r="AQ39" s="119"/>
      <c r="AR39" s="119"/>
      <c r="AS39" s="119"/>
      <c r="AT39" s="119"/>
      <c r="AU39" s="115" t="s">
        <v>514</v>
      </c>
      <c r="AV39" s="115"/>
      <c r="BC39" s="17"/>
      <c r="BD39" s="25"/>
      <c r="BE39" s="25"/>
      <c r="BF39" s="25"/>
      <c r="BG39" s="126" t="s">
        <v>105</v>
      </c>
      <c r="BH39" s="75"/>
      <c r="BI39" s="75"/>
      <c r="BJ39" s="75"/>
      <c r="BK39" s="75"/>
      <c r="BL39" s="75"/>
      <c r="BM39" s="136" t="s">
        <v>7</v>
      </c>
      <c r="BN39" s="117"/>
      <c r="BO39" s="117"/>
      <c r="BP39" s="117"/>
      <c r="BQ39" s="117"/>
      <c r="BR39" s="117"/>
      <c r="BS39" s="137" t="s">
        <v>45</v>
      </c>
      <c r="BT39" s="138"/>
      <c r="BU39" s="120"/>
      <c r="BV39" s="120"/>
      <c r="BW39" s="120"/>
      <c r="BX39" s="120"/>
      <c r="BY39" s="116" t="s">
        <v>514</v>
      </c>
      <c r="BZ39" s="116"/>
      <c r="CA39" s="25"/>
      <c r="CB39" s="25"/>
      <c r="CC39" s="25"/>
      <c r="CD39" s="25"/>
      <c r="CE39" s="25"/>
      <c r="CF39" s="18"/>
    </row>
    <row r="40" spans="1:84" s="16" customFormat="1" x14ac:dyDescent="0.25">
      <c r="A40" s="17">
        <v>20</v>
      </c>
      <c r="B40" s="25">
        <v>23.5</v>
      </c>
      <c r="C40" s="25">
        <v>59</v>
      </c>
      <c r="D40" s="25">
        <v>45.2</v>
      </c>
      <c r="E40" s="18">
        <f>IF(AND($B$16&gt;=Criteria!A40,$B$16&lt;=Criteria!B40),1,0)</f>
        <v>1</v>
      </c>
      <c r="F40" s="16">
        <v>5</v>
      </c>
      <c r="G40" s="16">
        <v>19</v>
      </c>
      <c r="H40" s="18">
        <f>IF(AND($B$15&gt;=F40,$B$15&lt;=G40),1,0)</f>
        <v>1</v>
      </c>
      <c r="I40" s="17" t="s">
        <v>171</v>
      </c>
      <c r="J40" s="25" t="s">
        <v>87</v>
      </c>
      <c r="K40" s="25" t="s">
        <v>87</v>
      </c>
      <c r="L40" s="25" t="s">
        <v>87</v>
      </c>
      <c r="M40" s="34">
        <v>16</v>
      </c>
      <c r="N40" s="34">
        <v>39</v>
      </c>
      <c r="O40" s="25">
        <f>IF(AND($B$14&gt;=M40,$B$14&lt;=N40),1,0)</f>
        <v>0</v>
      </c>
      <c r="P40" s="25">
        <v>37</v>
      </c>
      <c r="Q40" s="34">
        <v>50</v>
      </c>
      <c r="R40" s="25">
        <f>IF(AND(Q40="NA",K40&lt;&gt;"NA"),L40,IF(AND($B$13&gt;=P40,$B$13&lt;=Q40),1,0))</f>
        <v>0</v>
      </c>
      <c r="S40" s="34">
        <v>0.2</v>
      </c>
      <c r="T40" s="34">
        <v>4</v>
      </c>
      <c r="U40" s="25">
        <f>IF(AND($B$17&gt;=S40,$B$17&lt;=T40),1,0)</f>
        <v>1</v>
      </c>
      <c r="V40" s="25">
        <f>IF(AND(IF(L40="NA",1,L40)=1,IF(O40="NA",1,O40)=1,IF(R40="NA",1,R40)=1,IF(U40="NA",1,U40)=1),1,0)</f>
        <v>0</v>
      </c>
      <c r="W40" s="25">
        <v>1</v>
      </c>
      <c r="X40" s="18" t="str">
        <f>IF(V40=1,W40,"NA")</f>
        <v>NA</v>
      </c>
      <c r="Y40" s="35" t="s">
        <v>231</v>
      </c>
      <c r="Z40" s="34" t="s">
        <v>236</v>
      </c>
      <c r="AA40" s="34" t="s">
        <v>237</v>
      </c>
      <c r="AB40" s="34" t="s">
        <v>238</v>
      </c>
      <c r="AC40" s="75" t="s">
        <v>232</v>
      </c>
      <c r="AD40" s="75" t="s">
        <v>233</v>
      </c>
      <c r="AE40" s="75" t="s">
        <v>234</v>
      </c>
      <c r="AF40" s="75" t="s">
        <v>486</v>
      </c>
      <c r="AG40" s="75" t="s">
        <v>487</v>
      </c>
      <c r="AH40" s="75" t="s">
        <v>488</v>
      </c>
      <c r="AI40" s="117" t="s">
        <v>232</v>
      </c>
      <c r="AJ40" s="117" t="s">
        <v>233</v>
      </c>
      <c r="AK40" s="117" t="s">
        <v>234</v>
      </c>
      <c r="AL40" s="117" t="s">
        <v>486</v>
      </c>
      <c r="AM40" s="117" t="s">
        <v>487</v>
      </c>
      <c r="AN40" s="117" t="s">
        <v>488</v>
      </c>
      <c r="AO40" s="120" t="s">
        <v>232</v>
      </c>
      <c r="AP40" s="120" t="s">
        <v>233</v>
      </c>
      <c r="AQ40" s="120" t="s">
        <v>234</v>
      </c>
      <c r="AR40" s="120" t="s">
        <v>486</v>
      </c>
      <c r="AS40" s="120" t="s">
        <v>487</v>
      </c>
      <c r="AT40" s="120" t="s">
        <v>488</v>
      </c>
      <c r="AU40" s="116" t="s">
        <v>234</v>
      </c>
      <c r="AV40" s="116" t="s">
        <v>488</v>
      </c>
      <c r="AW40" s="34" t="s">
        <v>239</v>
      </c>
      <c r="AX40" s="34" t="s">
        <v>240</v>
      </c>
      <c r="AY40" s="34" t="s">
        <v>241</v>
      </c>
      <c r="AZ40" s="34" t="s">
        <v>202</v>
      </c>
      <c r="BA40" s="34" t="s">
        <v>246</v>
      </c>
      <c r="BB40" s="34" t="s">
        <v>247</v>
      </c>
      <c r="BC40" s="35" t="s">
        <v>231</v>
      </c>
      <c r="BD40" s="34" t="s">
        <v>243</v>
      </c>
      <c r="BE40" s="34" t="s">
        <v>244</v>
      </c>
      <c r="BF40" s="34" t="s">
        <v>245</v>
      </c>
      <c r="BG40" s="75" t="s">
        <v>232</v>
      </c>
      <c r="BH40" s="75" t="s">
        <v>233</v>
      </c>
      <c r="BI40" s="75" t="s">
        <v>234</v>
      </c>
      <c r="BJ40" s="75" t="s">
        <v>486</v>
      </c>
      <c r="BK40" s="75" t="s">
        <v>487</v>
      </c>
      <c r="BL40" s="75" t="s">
        <v>488</v>
      </c>
      <c r="BM40" s="117" t="s">
        <v>232</v>
      </c>
      <c r="BN40" s="117" t="s">
        <v>233</v>
      </c>
      <c r="BO40" s="117" t="s">
        <v>234</v>
      </c>
      <c r="BP40" s="117" t="s">
        <v>486</v>
      </c>
      <c r="BQ40" s="117" t="s">
        <v>487</v>
      </c>
      <c r="BR40" s="117" t="s">
        <v>488</v>
      </c>
      <c r="BS40" s="120" t="s">
        <v>232</v>
      </c>
      <c r="BT40" s="120" t="s">
        <v>233</v>
      </c>
      <c r="BU40" s="120" t="s">
        <v>234</v>
      </c>
      <c r="BV40" s="120" t="s">
        <v>486</v>
      </c>
      <c r="BW40" s="120" t="s">
        <v>487</v>
      </c>
      <c r="BX40" s="120" t="s">
        <v>488</v>
      </c>
      <c r="BY40" s="116" t="s">
        <v>234</v>
      </c>
      <c r="BZ40" s="116" t="s">
        <v>488</v>
      </c>
      <c r="CA40" s="34" t="s">
        <v>239</v>
      </c>
      <c r="CB40" s="34" t="s">
        <v>240</v>
      </c>
      <c r="CC40" s="34" t="s">
        <v>241</v>
      </c>
      <c r="CD40" s="34" t="s">
        <v>202</v>
      </c>
      <c r="CE40" s="34" t="s">
        <v>246</v>
      </c>
      <c r="CF40" s="36" t="s">
        <v>247</v>
      </c>
    </row>
    <row r="41" spans="1:84" s="16" customFormat="1" x14ac:dyDescent="0.25">
      <c r="A41" s="17">
        <v>23.5</v>
      </c>
      <c r="B41" s="25">
        <v>27</v>
      </c>
      <c r="C41" s="25">
        <v>59</v>
      </c>
      <c r="D41" s="25">
        <v>41.7</v>
      </c>
      <c r="E41" s="18">
        <f>IF(AND($B$16&gt;Criteria!A41,$B$16&lt;=Criteria!B41),1,0)</f>
        <v>0</v>
      </c>
      <c r="H41" s="18"/>
      <c r="I41" s="17" t="s">
        <v>172</v>
      </c>
      <c r="J41" s="25" t="s">
        <v>87</v>
      </c>
      <c r="K41" s="25" t="s">
        <v>87</v>
      </c>
      <c r="L41" s="25" t="s">
        <v>87</v>
      </c>
      <c r="M41" s="34">
        <v>16</v>
      </c>
      <c r="N41" s="34">
        <v>75</v>
      </c>
      <c r="O41" s="25">
        <f>IF(AND($B$14&gt;=M41,$B$14&lt;=N41),1,0)</f>
        <v>1</v>
      </c>
      <c r="P41" s="25">
        <v>50</v>
      </c>
      <c r="Q41" s="34">
        <v>99</v>
      </c>
      <c r="R41" s="25">
        <f>IF(AND(Q41="NA",K41&lt;&gt;"NA"),L41,IF(AND($B$13&gt;=P41,$B$13&lt;=Q41),1,0))</f>
        <v>1</v>
      </c>
      <c r="S41" s="34">
        <v>0.2</v>
      </c>
      <c r="T41" s="34">
        <v>4</v>
      </c>
      <c r="U41" s="25">
        <f>IF(AND($B$17&gt;=S41,$B$17&lt;=T41),1,0)</f>
        <v>1</v>
      </c>
      <c r="V41" s="25">
        <f>IF(AND(IF(L41="NA",1,L41)=1,IF(O41="NA",1,O41)=1,IF(R41="NA",1,R41)=1,IF(U41="NA",1,U41)=1),1,0)</f>
        <v>1</v>
      </c>
      <c r="W41" s="25">
        <v>2</v>
      </c>
      <c r="X41" s="18">
        <f>IF(V41=1,W41,"NA")</f>
        <v>2</v>
      </c>
      <c r="Y41" s="17" t="s">
        <v>278</v>
      </c>
      <c r="Z41" s="25">
        <v>0</v>
      </c>
      <c r="AA41" s="25">
        <v>100</v>
      </c>
      <c r="AB41" s="13">
        <f>IF(AA41="NA",1,IF(AND($B$18&gt;=Z41,$B$18&lt;=AA41),1,0))</f>
        <v>1</v>
      </c>
      <c r="AC41" s="122">
        <v>0</v>
      </c>
      <c r="AD41" s="122">
        <f>IF($B$13-6.5&gt;AG41-6.5,AG41-6.5,$B$13-6.5)</f>
        <v>16.5</v>
      </c>
      <c r="AE41" s="122">
        <f>IF(AD41="NA",1,IF(AND($B$14&gt;=AC41,$B$14&lt;=AD41),1,0))</f>
        <v>0</v>
      </c>
      <c r="AF41" s="75">
        <v>0</v>
      </c>
      <c r="AG41" s="75">
        <v>23</v>
      </c>
      <c r="AH41" s="75">
        <f>IF(AND($B$13&gt;=AF41,$B$13&lt;=AG41),1,0)</f>
        <v>0</v>
      </c>
      <c r="AI41" s="117">
        <v>0</v>
      </c>
      <c r="AJ41" s="117">
        <f>IF($B$13-9.7&gt;AM41-9.7,AM41-9.7,$B$13-9.7)</f>
        <v>10.3</v>
      </c>
      <c r="AK41" s="117">
        <f>IF(AJ41="NA",1,IF(AND($B$14&gt;=AI41,$B$14&lt;=AJ41),1,0))</f>
        <v>0</v>
      </c>
      <c r="AL41" s="117">
        <v>0</v>
      </c>
      <c r="AM41" s="117">
        <v>20</v>
      </c>
      <c r="AN41" s="130">
        <f>IF(AM41="NA",1,IF(AND($B$13&gt;=AL41,$B$13&lt;=AM41),1,0))</f>
        <v>0</v>
      </c>
      <c r="AO41" s="120">
        <v>0</v>
      </c>
      <c r="AP41" s="120">
        <f>IF($B$13-11&gt;AS41-11,AS41-11,$B$13-11)</f>
        <v>8</v>
      </c>
      <c r="AQ41" s="120">
        <f>IF(AP41="NA",1,IF(AND($B$14&gt;=AO41,$B$14&lt;=AP41),1,0))</f>
        <v>0</v>
      </c>
      <c r="AR41" s="120">
        <v>0</v>
      </c>
      <c r="AS41" s="120">
        <v>19</v>
      </c>
      <c r="AT41" s="120">
        <f>IF(AS41="NA",1,IF(AND($B$13&gt;=AR41,$B$13&lt;=AS41),1,0))</f>
        <v>0</v>
      </c>
      <c r="AU41" s="132" t="str">
        <f>IF($C$22="M3",AE41,IF($C$22="M4",AK41,IF($C$22="M5",AQ41,"???")))</f>
        <v>???</v>
      </c>
      <c r="AV41" s="132" t="str">
        <f>IF($C$22="M3",AH41,IF($C$22="M4",AN41,IF($C$22="M5",AT41,"???")))</f>
        <v>???</v>
      </c>
      <c r="AW41" s="25">
        <v>0.2</v>
      </c>
      <c r="AX41" s="25">
        <v>4</v>
      </c>
      <c r="AY41" s="25">
        <f>IF(AND($B$17&gt;=AW41,$B$17&lt;=AX41),1,0)</f>
        <v>1</v>
      </c>
      <c r="AZ41" s="25">
        <f>IF(AND(IF(AB41="NA",1,AB41)=1,IF(AU41="NA",1,AU41)=1,IF(AV41="NA",1,AV41)=1,IF(AY41="NA",1,AY41)=1),1,0)</f>
        <v>0</v>
      </c>
      <c r="BA41" s="25">
        <v>1</v>
      </c>
      <c r="BB41" s="25" t="str">
        <f>IF(AZ41=1,BA41,"NA")</f>
        <v>NA</v>
      </c>
      <c r="BC41" s="17" t="s">
        <v>278</v>
      </c>
      <c r="BD41" s="13">
        <v>0</v>
      </c>
      <c r="BE41" s="13">
        <v>39</v>
      </c>
      <c r="BF41" s="13">
        <f>IF(BE41="NA",1,IF(AND($B$18&gt;=BD41,$B$18&lt;=BE41),1,0))</f>
        <v>0</v>
      </c>
      <c r="BG41" s="122">
        <v>0</v>
      </c>
      <c r="BH41" s="122">
        <f>IF($B$13-6.5&gt;BK41-6.5,BK41-6.5,$B$13-6.5)</f>
        <v>16.5</v>
      </c>
      <c r="BI41" s="122">
        <f>IF(BH41="NA",1,IF(AND($B$14&gt;=BG41,$B$14&lt;=BH41),1,0))</f>
        <v>0</v>
      </c>
      <c r="BJ41" s="75">
        <v>0</v>
      </c>
      <c r="BK41" s="75">
        <v>23</v>
      </c>
      <c r="BL41" s="75">
        <f>IF(AND($B$13&gt;=BJ41,$B$13&lt;=BK41),1,0)</f>
        <v>0</v>
      </c>
      <c r="BM41" s="117">
        <v>0</v>
      </c>
      <c r="BN41" s="117">
        <f>IF($B$13-9.7&gt;BQ41-9.7,BQ41-9.7,$B$13-9.7)</f>
        <v>10.3</v>
      </c>
      <c r="BO41" s="117">
        <f>IF(BN41="NA",1,IF(AND($B$14&gt;=BM41,$B$14&lt;=BN41),1,0))</f>
        <v>0</v>
      </c>
      <c r="BP41" s="117">
        <v>0</v>
      </c>
      <c r="BQ41" s="117">
        <v>20</v>
      </c>
      <c r="BR41" s="130">
        <f>IF(BQ41="NA",1,IF(AND($B$13&gt;=BP41,$B$13&lt;=BQ41),1,0))</f>
        <v>0</v>
      </c>
      <c r="BS41" s="120">
        <v>0</v>
      </c>
      <c r="BT41" s="120">
        <f>IF($B$13-11&gt;BW41-11,BW41-11,$B$13-11)</f>
        <v>8</v>
      </c>
      <c r="BU41" s="120">
        <f>IF(BT41="NA",1,IF(AND($B$14&gt;=BS41,$B$14&lt;=BT41),1,0))</f>
        <v>0</v>
      </c>
      <c r="BV41" s="120">
        <v>0</v>
      </c>
      <c r="BW41" s="120">
        <v>19</v>
      </c>
      <c r="BX41" s="120">
        <f>IF(BW41="NA",1,IF(AND($B$13&gt;=BV41,$B$13&lt;=BW41),1,0))</f>
        <v>0</v>
      </c>
      <c r="BY41" s="132" t="str">
        <f>IF($C$22="M3",BI41,IF($C$22="M4",BO41,IF($C$22="M5",BU41,"???")))</f>
        <v>???</v>
      </c>
      <c r="BZ41" s="132" t="str">
        <f>IF($C$22="M3",BL41,IF($C$22="M4",BR41,IF($C$22="M5",BX41,"???")))</f>
        <v>???</v>
      </c>
      <c r="CA41" s="13">
        <v>0.2</v>
      </c>
      <c r="CB41" s="13">
        <v>4</v>
      </c>
      <c r="CC41" s="13">
        <f>IF(AND($B$17&gt;=CA41,$B$17&lt;=CB41),1,0)</f>
        <v>1</v>
      </c>
      <c r="CD41" s="25">
        <f>IF(AND(IF(BF41="NA",1,BF41)=1,IF(BY41="NA",1,BY41)=1,IF(BZ41="NA",1,BZ41)=1,IF(CC41="NA",1,CC41)=1),1,0)</f>
        <v>0</v>
      </c>
      <c r="CE41" s="25">
        <v>1</v>
      </c>
      <c r="CF41" s="60" t="str">
        <f>IF(CD41=1,CE41,"NA")</f>
        <v>NA</v>
      </c>
    </row>
    <row r="42" spans="1:84" s="16" customFormat="1" x14ac:dyDescent="0.25">
      <c r="A42" s="17">
        <v>27</v>
      </c>
      <c r="B42" s="25">
        <v>30.5</v>
      </c>
      <c r="C42" s="25">
        <v>66</v>
      </c>
      <c r="D42" s="25">
        <v>45.2</v>
      </c>
      <c r="E42" s="18">
        <f>IF(AND($B$16&gt;Criteria!A42,$B$16&lt;=Criteria!B42),1,0)</f>
        <v>0</v>
      </c>
      <c r="H42" s="18"/>
      <c r="I42" s="17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18"/>
      <c r="Y42" s="17" t="s">
        <v>279</v>
      </c>
      <c r="Z42" s="25">
        <v>0</v>
      </c>
      <c r="AA42" s="25">
        <v>200</v>
      </c>
      <c r="AB42" s="13">
        <f>IF(AA42="NA",1,IF(AND($B$18&gt;=Z42,$B$18&lt;=AA42),1,0))</f>
        <v>1</v>
      </c>
      <c r="AC42" s="122">
        <v>0</v>
      </c>
      <c r="AD42" s="122">
        <f>IF($B$13-6.5&gt;AG42-6.5,AG42-6.5,$B$13-6.5)</f>
        <v>55.5</v>
      </c>
      <c r="AE42" s="122">
        <f>IF(AD42="NA",1,IF(AND($B$14&gt;=AC42,$B$14&lt;=AD42),1,0))</f>
        <v>0</v>
      </c>
      <c r="AF42" s="75">
        <v>0</v>
      </c>
      <c r="AG42" s="75">
        <v>62</v>
      </c>
      <c r="AH42" s="75">
        <f>IF(AND($B$13&gt;=AF42,$B$13&lt;=AG42),1,0)</f>
        <v>0</v>
      </c>
      <c r="AI42" s="117">
        <v>0</v>
      </c>
      <c r="AJ42" s="117">
        <f>IF($B$13-9.7&gt;AM42-9.7,AM42-9.7,$B$13-9.7)</f>
        <v>49.3</v>
      </c>
      <c r="AK42" s="117">
        <f>IF(AJ42="NA",1,IF(AND($B$14&gt;=AI42,$B$14&lt;=AJ42),1,0))</f>
        <v>0</v>
      </c>
      <c r="AL42" s="117">
        <v>0</v>
      </c>
      <c r="AM42" s="117">
        <v>59</v>
      </c>
      <c r="AN42" s="130">
        <f>IF(AM42="NA",1,IF(AND($B$13&gt;=AL42,$B$13&lt;=AM42),1,0))</f>
        <v>0</v>
      </c>
      <c r="AO42" s="120">
        <v>0</v>
      </c>
      <c r="AP42" s="120">
        <f>IF($B$13-11&gt;AS42-11,AS42-11,$B$13-11)</f>
        <v>47</v>
      </c>
      <c r="AQ42" s="120">
        <f>IF(AP42="NA",1,IF(AND($B$14&gt;=AO42,$B$14&lt;=AP42),1,0))</f>
        <v>0</v>
      </c>
      <c r="AR42" s="120"/>
      <c r="AS42" s="120">
        <v>58</v>
      </c>
      <c r="AT42" s="120">
        <f>IF(AS42="NA",1,IF(AND($B$13&gt;=AR42,$B$13&lt;=AS42),1,0))</f>
        <v>0</v>
      </c>
      <c r="AU42" s="132" t="str">
        <f>IF($C$22="M3",AE42,IF($C$22="M4",AK42,IF($C$22="M5",AQ42,"???")))</f>
        <v>???</v>
      </c>
      <c r="AV42" s="132" t="str">
        <f>IF($C$22="M3",AH42,IF($C$22="M4",AN42,IF($C$22="M5",AT42,"???")))</f>
        <v>???</v>
      </c>
      <c r="AW42" s="25">
        <v>0.2</v>
      </c>
      <c r="AX42" s="25">
        <v>4</v>
      </c>
      <c r="AY42" s="25">
        <f>IF(AND($B$17&gt;=AW42,$B$17&lt;=AX42),1,0)</f>
        <v>1</v>
      </c>
      <c r="AZ42" s="25">
        <f>IF(AND(IF(AB42="NA",1,AB42)=1,IF(AU42="NA",1,AU42)=1,IF(AV42="NA",1,AV42)=1,IF(AY42="NA",1,AY42)=1),1,0)</f>
        <v>0</v>
      </c>
      <c r="BA42" s="25">
        <v>3</v>
      </c>
      <c r="BB42" s="25" t="str">
        <f>IF(AZ42=1,BA42,"NA")</f>
        <v>NA</v>
      </c>
      <c r="BC42" s="17" t="s">
        <v>279</v>
      </c>
      <c r="BD42" s="13">
        <v>0</v>
      </c>
      <c r="BE42" s="13">
        <v>80</v>
      </c>
      <c r="BF42" s="13">
        <f>IF(BE42="NA",1,IF(AND($B$18&gt;=BD42,$B$18&lt;=BE42),1,0))</f>
        <v>1</v>
      </c>
      <c r="BG42" s="122">
        <v>0</v>
      </c>
      <c r="BH42" s="122">
        <f>IF($B$13-6.5&gt;BK42-6.5,BK42-6.5,$B$13-6.5)</f>
        <v>55.5</v>
      </c>
      <c r="BI42" s="122">
        <f>IF(BH42="NA",1,IF(AND($B$14&gt;=BG42,$B$14&lt;=BH42),1,0))</f>
        <v>0</v>
      </c>
      <c r="BJ42" s="75">
        <v>0</v>
      </c>
      <c r="BK42" s="75">
        <v>62</v>
      </c>
      <c r="BL42" s="75">
        <f>IF(AND($B$13&gt;=BJ42,$B$13&lt;=BK42),1,0)</f>
        <v>0</v>
      </c>
      <c r="BM42" s="117">
        <v>0</v>
      </c>
      <c r="BN42" s="117">
        <f>IF($B$13-9.7&gt;BQ42-9.7,BQ42-9.7,$B$13-9.7)</f>
        <v>49.3</v>
      </c>
      <c r="BO42" s="117">
        <f>IF(BN42="NA",1,IF(AND($B$14&gt;=BM42,$B$14&lt;=BN42),1,0))</f>
        <v>0</v>
      </c>
      <c r="BP42" s="117">
        <v>0</v>
      </c>
      <c r="BQ42" s="117">
        <v>59</v>
      </c>
      <c r="BR42" s="130">
        <f>IF(BQ42="NA",1,IF(AND($B$13&gt;=BP42,$B$13&lt;=BQ42),1,0))</f>
        <v>0</v>
      </c>
      <c r="BS42" s="120">
        <v>0</v>
      </c>
      <c r="BT42" s="120">
        <f>IF($B$13-11&gt;BW42-11,BW42-11,$B$13-11)</f>
        <v>47</v>
      </c>
      <c r="BU42" s="120">
        <f>IF(BT42="NA",1,IF(AND($B$14&gt;=BS42,$B$14&lt;=BT42),1,0))</f>
        <v>0</v>
      </c>
      <c r="BV42" s="120">
        <v>0</v>
      </c>
      <c r="BW42" s="120">
        <v>58</v>
      </c>
      <c r="BX42" s="120">
        <f>IF(BW42="NA",1,IF(AND($B$13&gt;=BV42,$B$13&lt;=BW42),1,0))</f>
        <v>0</v>
      </c>
      <c r="BY42" s="132" t="str">
        <f>IF($C$22="M3",BI42,IF($C$22="M4",BO42,IF($C$22="M5",BU42,"???")))</f>
        <v>???</v>
      </c>
      <c r="BZ42" s="132" t="str">
        <f>IF($C$22="M3",BL42,IF($C$22="M4",BR42,IF($C$22="M5",BX42,"???")))</f>
        <v>???</v>
      </c>
      <c r="CA42" s="13">
        <v>0.2</v>
      </c>
      <c r="CB42" s="13">
        <v>4</v>
      </c>
      <c r="CC42" s="13">
        <f>IF(AND($B$17&gt;=CA42,$B$17&lt;=CB42),1,0)</f>
        <v>1</v>
      </c>
      <c r="CD42" s="25">
        <f>IF(AND(IF(BF42="NA",1,BF42)=1,IF(BY42="NA",1,BY42)=1,IF(BZ42="NA",1,BZ42)=1,IF(CC42="NA",1,CC42)=1),1,0)</f>
        <v>0</v>
      </c>
      <c r="CE42" s="25">
        <v>4</v>
      </c>
      <c r="CF42" s="60" t="str">
        <f>IF(CD42=1,CE42,"NA")</f>
        <v>NA</v>
      </c>
    </row>
    <row r="43" spans="1:84" s="16" customFormat="1" x14ac:dyDescent="0.25">
      <c r="A43" s="17">
        <v>30.5</v>
      </c>
      <c r="B43" s="25">
        <v>34</v>
      </c>
      <c r="C43" s="25">
        <v>66</v>
      </c>
      <c r="D43" s="25">
        <v>41.7</v>
      </c>
      <c r="E43" s="18">
        <f>IF(AND($B$16&gt;Criteria!A43,$B$16&lt;=Criteria!B43),1,0)</f>
        <v>0</v>
      </c>
      <c r="F43" s="25"/>
      <c r="G43" s="25"/>
      <c r="H43" s="18"/>
      <c r="I43" s="17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18"/>
      <c r="Y43" s="17" t="s">
        <v>172</v>
      </c>
      <c r="Z43" s="25" t="s">
        <v>87</v>
      </c>
      <c r="AA43" s="25" t="s">
        <v>87</v>
      </c>
      <c r="AB43" s="13">
        <f>IF(AA43="NA",1,IF(AND($B$18&gt;=Z43,$B$18&lt;=AA43),1,0))</f>
        <v>1</v>
      </c>
      <c r="AC43" s="122">
        <v>0</v>
      </c>
      <c r="AD43" s="122">
        <v>97</v>
      </c>
      <c r="AE43" s="122">
        <f>IF(AD43="NA",1,IF(AND($B$14&gt;=AC43,$B$14&lt;=AD43),1,0))</f>
        <v>1</v>
      </c>
      <c r="AF43" s="122">
        <v>70</v>
      </c>
      <c r="AG43" s="122">
        <v>99</v>
      </c>
      <c r="AH43" s="75">
        <f>IF(AND($B$13&gt;=AF43,$B$13&lt;=AG43),1,0)</f>
        <v>1</v>
      </c>
      <c r="AI43" s="130">
        <v>0</v>
      </c>
      <c r="AJ43" s="130">
        <v>97</v>
      </c>
      <c r="AK43" s="117">
        <f>IF(AJ43="NA",1,IF(AND($B$14&gt;=AI43,$B$14&lt;=AJ43),1,0))</f>
        <v>1</v>
      </c>
      <c r="AL43" s="130">
        <v>70</v>
      </c>
      <c r="AM43" s="130">
        <v>99</v>
      </c>
      <c r="AN43" s="130">
        <f>IF(AM43="NA",1,IF(AND($B$13&gt;=AL43,$B$13&lt;=AM43),1,0))</f>
        <v>1</v>
      </c>
      <c r="AO43" s="131">
        <v>0</v>
      </c>
      <c r="AP43" s="131">
        <v>97</v>
      </c>
      <c r="AQ43" s="120">
        <f>IF(AP43="NA",1,IF(AND($B$14&gt;=AO43,$B$14&lt;=AP43),1,0))</f>
        <v>1</v>
      </c>
      <c r="AR43" s="131">
        <v>70</v>
      </c>
      <c r="AS43" s="131">
        <v>99</v>
      </c>
      <c r="AT43" s="120">
        <f>IF(AS43="NA",1,IF(AND($B$13&gt;=AR43,$B$13&lt;=AS43),1,0))</f>
        <v>1</v>
      </c>
      <c r="AU43" s="132" t="str">
        <f>IF($C$22="M3",AE43,IF($C$22="M4",AK43,IF($C$22="M5",AQ43,"???")))</f>
        <v>???</v>
      </c>
      <c r="AV43" s="132" t="str">
        <f>IF($C$22="M3",AH43,IF($C$22="M4",AN43,IF($C$22="M5",AT43,"???")))</f>
        <v>???</v>
      </c>
      <c r="AW43" s="25">
        <v>0.2</v>
      </c>
      <c r="AX43" s="25">
        <v>4</v>
      </c>
      <c r="AY43" s="25">
        <f>IF(AND($B$17&gt;=AW43,$B$17&lt;=AX43),1,0)</f>
        <v>1</v>
      </c>
      <c r="AZ43" s="25">
        <f>IF(AND(IF(AB43="NA",1,AB43)=1,IF(AU43="NA",1,AU43)=1,IF(AV43="NA",1,AV43)=1,IF(AY43="NA",1,AY43)=1),1,0)</f>
        <v>0</v>
      </c>
      <c r="BA43" s="25">
        <v>2</v>
      </c>
      <c r="BB43" s="25" t="str">
        <f>IF(AZ43=1,BA43,"NA")</f>
        <v>NA</v>
      </c>
      <c r="BC43" s="17" t="s">
        <v>172</v>
      </c>
      <c r="BD43" s="13" t="s">
        <v>87</v>
      </c>
      <c r="BE43" s="13" t="s">
        <v>87</v>
      </c>
      <c r="BF43" s="13">
        <f>IF(BE43="NA",1,IF(AND($B$18&gt;=BD43,$B$18&lt;=BE43),1,0))</f>
        <v>1</v>
      </c>
      <c r="BG43" s="122">
        <v>5</v>
      </c>
      <c r="BH43" s="122">
        <v>69</v>
      </c>
      <c r="BI43" s="122">
        <f>IF(AND($B$14&gt;=BG43,$B$14&lt;=BH43),1,0)</f>
        <v>1</v>
      </c>
      <c r="BJ43" s="122">
        <v>56</v>
      </c>
      <c r="BK43" s="122">
        <v>69</v>
      </c>
      <c r="BL43" s="75">
        <f>IF(AND(BK43="NA",BE43&lt;&gt;"NA"),BF43,IF(AND($B$13&gt;=BJ43,$B$13&lt;=BK43),1,0))</f>
        <v>0</v>
      </c>
      <c r="BM43" s="130">
        <v>0</v>
      </c>
      <c r="BN43" s="130">
        <v>97</v>
      </c>
      <c r="BO43" s="117">
        <f>IF(BN43="NA",1,IF(AND($B$14&gt;=BM43,$B$14&lt;=BN43),1,0))</f>
        <v>1</v>
      </c>
      <c r="BP43" s="130">
        <v>70</v>
      </c>
      <c r="BQ43" s="130">
        <v>99</v>
      </c>
      <c r="BR43" s="130">
        <f>IF(BQ43="NA",1,IF(AND($B$13&gt;=BP43,$B$13&lt;=BQ43),1,0))</f>
        <v>1</v>
      </c>
      <c r="BS43" s="131">
        <v>0</v>
      </c>
      <c r="BT43" s="131">
        <v>97</v>
      </c>
      <c r="BU43" s="120">
        <f>IF(BT43="NA",1,IF(AND($B$14&gt;=BS43,$B$14&lt;=BT43),1,0))</f>
        <v>1</v>
      </c>
      <c r="BV43" s="131">
        <v>70</v>
      </c>
      <c r="BW43" s="131">
        <v>99</v>
      </c>
      <c r="BX43" s="120">
        <f>IF(BW43="NA",1,IF(AND($B$13&gt;=BV43,$B$13&lt;=BW43),1,0))</f>
        <v>1</v>
      </c>
      <c r="BY43" s="132" t="str">
        <f>IF($C$22="M3",BI43,IF($C$22="M4",BO43,IF($C$22="M5",BU43,"???")))</f>
        <v>???</v>
      </c>
      <c r="BZ43" s="132" t="str">
        <f>IF($C$22="M3",BL43,IF($C$22="M4",BR43,IF($C$22="M5",BX43,"???")))</f>
        <v>???</v>
      </c>
      <c r="CA43" s="13">
        <v>0.2</v>
      </c>
      <c r="CB43" s="13">
        <v>4</v>
      </c>
      <c r="CC43" s="13">
        <f>IF(AND($B$17&gt;=CA43,$B$17&lt;=CB43),1,0)</f>
        <v>1</v>
      </c>
      <c r="CD43" s="25">
        <f>IF(AND(IF(BF43="NA",1,BF43)=1,IF(BY43="NA",1,BY43)=1,IF(BZ43="NA",1,BZ43)=1,IF(CC43="NA",1,CC43)=1),1,0)</f>
        <v>0</v>
      </c>
      <c r="CE43" s="25">
        <v>2</v>
      </c>
      <c r="CF43" s="60" t="str">
        <f>IF(CD43=1,CE43,"NA")</f>
        <v>NA</v>
      </c>
    </row>
    <row r="44" spans="1:84" s="16" customFormat="1" x14ac:dyDescent="0.25">
      <c r="A44" s="17">
        <v>34</v>
      </c>
      <c r="B44" s="25">
        <v>37.5</v>
      </c>
      <c r="C44" s="25">
        <v>73</v>
      </c>
      <c r="D44" s="25">
        <v>45.2</v>
      </c>
      <c r="E44" s="18">
        <f>IF(AND($B$16&gt;Criteria!A44,$B$16&lt;=Criteria!B44),1,0)</f>
        <v>0</v>
      </c>
      <c r="F44" s="25"/>
      <c r="G44" s="25"/>
      <c r="H44" s="18"/>
      <c r="I44" s="17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18"/>
      <c r="Y44" s="17"/>
      <c r="Z44" s="25"/>
      <c r="AA44" s="25"/>
      <c r="AB44" s="25"/>
      <c r="AC44" s="75"/>
      <c r="AD44" s="75"/>
      <c r="AE44" s="75"/>
      <c r="AF44" s="75"/>
      <c r="AG44" s="75"/>
      <c r="AH44" s="75"/>
      <c r="AI44" s="117"/>
      <c r="AJ44" s="117"/>
      <c r="AK44" s="117"/>
      <c r="AL44" s="117"/>
      <c r="AM44" s="117"/>
      <c r="AN44" s="117"/>
      <c r="AO44" s="120"/>
      <c r="AP44" s="120"/>
      <c r="AQ44" s="120"/>
      <c r="AR44" s="120"/>
      <c r="AS44" s="120"/>
      <c r="AT44" s="120"/>
      <c r="AU44" s="132"/>
      <c r="AV44" s="132"/>
      <c r="AW44" s="25"/>
      <c r="AX44" s="25"/>
      <c r="AY44" s="25"/>
      <c r="AZ44" s="25"/>
      <c r="BA44" s="25"/>
      <c r="BB44" s="25"/>
      <c r="BC44" s="17" t="s">
        <v>172</v>
      </c>
      <c r="BD44" s="13" t="s">
        <v>87</v>
      </c>
      <c r="BE44" s="13" t="s">
        <v>87</v>
      </c>
      <c r="BF44" s="13">
        <f>IF(BE44="NA",1,IF(AND($B$18&gt;=BD44,$B$18&lt;=BE44),1,0))</f>
        <v>1</v>
      </c>
      <c r="BG44" s="75">
        <v>5</v>
      </c>
      <c r="BH44" s="75">
        <v>69</v>
      </c>
      <c r="BI44" s="75">
        <f>IF(AND($B$14&gt;=BG44,$B$14&lt;=BH44),1,0)</f>
        <v>1</v>
      </c>
      <c r="BJ44" s="75">
        <v>70</v>
      </c>
      <c r="BK44" s="75">
        <v>99</v>
      </c>
      <c r="BL44" s="75">
        <f>IF(AND(BK44="NA",BE44&lt;&gt;"NA"),BF44,IF(AND($B$13&gt;=BJ44,$B$13&lt;=BK44),1,0))</f>
        <v>1</v>
      </c>
      <c r="BM44" s="117">
        <v>5</v>
      </c>
      <c r="BN44" s="117">
        <v>69</v>
      </c>
      <c r="BO44" s="117">
        <f>IF(AND($B$14&gt;=BM44,$B$14&lt;=BN44),1,0)</f>
        <v>1</v>
      </c>
      <c r="BP44" s="117">
        <v>70</v>
      </c>
      <c r="BQ44" s="117">
        <v>99</v>
      </c>
      <c r="BR44" s="117">
        <f>IF(AND(BQ44="NA",BK44&lt;&gt;"NA"),BL44,IF(AND($B$13&gt;=BP44,$B$13&lt;=BQ44),1,0))</f>
        <v>1</v>
      </c>
      <c r="BS44" s="120">
        <v>5</v>
      </c>
      <c r="BT44" s="120">
        <v>69</v>
      </c>
      <c r="BU44" s="120">
        <f>IF(AND($B$14&gt;=BS44,$B$14&lt;=BT44),1,0)</f>
        <v>1</v>
      </c>
      <c r="BV44" s="120">
        <v>70</v>
      </c>
      <c r="BW44" s="120">
        <v>99</v>
      </c>
      <c r="BX44" s="120">
        <f>IF(AND(BW44="NA",BQ44&lt;&gt;"NA"),BR44,IF(AND($B$13&gt;=BV44,$B$13&lt;=BW44),1,0))</f>
        <v>1</v>
      </c>
      <c r="BY44" s="132" t="str">
        <f>IF($C$22="M3",BI44,IF($C$22="M4",BO44,IF($C$22="M5",BU44,"???")))</f>
        <v>???</v>
      </c>
      <c r="BZ44" s="132" t="str">
        <f>IF($C$22="M3",BL44,IF($C$22="M4",BR44,IF($C$22="M5",BX44,"???")))</f>
        <v>???</v>
      </c>
      <c r="CA44" s="13">
        <v>0.2</v>
      </c>
      <c r="CB44" s="13">
        <v>4</v>
      </c>
      <c r="CC44" s="13">
        <f>IF(AND($B$17&gt;=CA44,$B$17&lt;=CB44),1,0)</f>
        <v>1</v>
      </c>
      <c r="CD44" s="25">
        <f>IF(AND(IF(BF44="NA",1,BF44)=1,IF(BY44="NA",1,BY44)=1,IF(BZ44="NA",1,BZ44)=1,IF(CC44="NA",1,CC44)=1),1,0)</f>
        <v>0</v>
      </c>
      <c r="CE44" s="34">
        <v>3</v>
      </c>
      <c r="CF44" s="60" t="str">
        <f>IF(CD44=1,CE44,"NA")</f>
        <v>NA</v>
      </c>
    </row>
    <row r="45" spans="1:84" s="16" customFormat="1" x14ac:dyDescent="0.25">
      <c r="A45" s="17">
        <v>37.5</v>
      </c>
      <c r="B45" s="25">
        <v>41</v>
      </c>
      <c r="C45" s="25">
        <v>73</v>
      </c>
      <c r="D45" s="25">
        <v>41.7</v>
      </c>
      <c r="E45" s="18">
        <f>IF(AND($B$16&gt;Criteria!A45,$B$16&lt;=Criteria!B45),1,0)</f>
        <v>0</v>
      </c>
      <c r="F45" s="25"/>
      <c r="G45" s="25"/>
      <c r="H45" s="18"/>
      <c r="I45" s="1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18"/>
      <c r="Y45" s="17"/>
      <c r="Z45" s="25"/>
      <c r="AA45" s="25"/>
      <c r="AB45" s="25"/>
      <c r="AC45" s="75"/>
      <c r="AD45" s="75"/>
      <c r="AE45" s="75"/>
      <c r="AF45" s="75"/>
      <c r="AG45" s="75"/>
      <c r="AH45" s="75"/>
      <c r="AI45" s="117"/>
      <c r="AJ45" s="117"/>
      <c r="AK45" s="117"/>
      <c r="AL45" s="117"/>
      <c r="AM45" s="117"/>
      <c r="AN45" s="117"/>
      <c r="AO45" s="120"/>
      <c r="AP45" s="120"/>
      <c r="AQ45" s="120"/>
      <c r="AR45" s="120"/>
      <c r="AS45" s="120"/>
      <c r="AT45" s="120"/>
      <c r="AU45" s="132"/>
      <c r="AV45" s="132"/>
      <c r="AW45" s="25"/>
      <c r="AX45" s="25"/>
      <c r="AY45" s="25"/>
      <c r="AZ45" s="25"/>
      <c r="BA45" s="25"/>
      <c r="BB45" s="25"/>
      <c r="BC45" s="17"/>
      <c r="BD45" s="13"/>
      <c r="BE45" s="13"/>
      <c r="BF45" s="13"/>
      <c r="BG45" s="75"/>
      <c r="BH45" s="75"/>
      <c r="BI45" s="75"/>
      <c r="BJ45" s="75"/>
      <c r="BK45" s="75"/>
      <c r="BL45" s="75"/>
      <c r="BM45" s="117"/>
      <c r="BN45" s="117"/>
      <c r="BO45" s="117"/>
      <c r="BP45" s="117"/>
      <c r="BQ45" s="117"/>
      <c r="BR45" s="117"/>
      <c r="BS45" s="120"/>
      <c r="BT45" s="120"/>
      <c r="BU45" s="120"/>
      <c r="BV45" s="120"/>
      <c r="BW45" s="120"/>
      <c r="BX45" s="120"/>
      <c r="BY45" s="132"/>
      <c r="BZ45" s="132"/>
      <c r="CA45" s="13"/>
      <c r="CB45" s="13"/>
      <c r="CC45" s="13"/>
      <c r="CD45" s="13"/>
      <c r="CE45" s="25"/>
      <c r="CF45" s="18"/>
    </row>
    <row r="46" spans="1:84" s="16" customFormat="1" x14ac:dyDescent="0.25">
      <c r="A46" s="17"/>
      <c r="B46" s="25"/>
      <c r="C46" s="25"/>
      <c r="D46" s="25"/>
      <c r="E46" s="18">
        <f>IF(AND($B$16&gt;Criteria!A46,$B$16&lt;=Criteria!B46),1,0)</f>
        <v>0</v>
      </c>
      <c r="F46" s="25"/>
      <c r="G46" s="25"/>
      <c r="H46" s="18"/>
      <c r="I46" s="1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18"/>
      <c r="Y46" s="17"/>
      <c r="Z46" s="25"/>
      <c r="AA46" s="25"/>
      <c r="AB46" s="25"/>
      <c r="AC46" s="75"/>
      <c r="AD46" s="75"/>
      <c r="AE46" s="75"/>
      <c r="AF46" s="75"/>
      <c r="AG46" s="75"/>
      <c r="AH46" s="75"/>
      <c r="AI46" s="117"/>
      <c r="AJ46" s="117"/>
      <c r="AK46" s="117"/>
      <c r="AL46" s="117"/>
      <c r="AM46" s="117"/>
      <c r="AN46" s="117"/>
      <c r="AO46" s="120"/>
      <c r="AP46" s="120"/>
      <c r="AQ46" s="120"/>
      <c r="AR46" s="120"/>
      <c r="AS46" s="120"/>
      <c r="AT46" s="120"/>
      <c r="AU46" s="132"/>
      <c r="AV46" s="132"/>
      <c r="AW46" s="25"/>
      <c r="AX46" s="25"/>
      <c r="AY46" s="25"/>
      <c r="AZ46" s="25"/>
      <c r="BA46" s="25"/>
      <c r="BB46" s="25"/>
      <c r="BC46" s="17"/>
      <c r="BD46" s="13"/>
      <c r="BE46" s="13"/>
      <c r="BF46" s="13"/>
      <c r="BG46" s="75"/>
      <c r="BH46" s="75"/>
      <c r="BI46" s="75"/>
      <c r="BJ46" s="75"/>
      <c r="BK46" s="75"/>
      <c r="BL46" s="75"/>
      <c r="BM46" s="117"/>
      <c r="BN46" s="117"/>
      <c r="BO46" s="117"/>
      <c r="BP46" s="117"/>
      <c r="BQ46" s="117"/>
      <c r="BR46" s="117"/>
      <c r="BS46" s="120"/>
      <c r="BT46" s="120"/>
      <c r="BU46" s="120"/>
      <c r="BV46" s="120"/>
      <c r="BW46" s="120"/>
      <c r="BX46" s="120"/>
      <c r="BY46" s="132"/>
      <c r="BZ46" s="132"/>
      <c r="CA46" s="13"/>
      <c r="CB46" s="13"/>
      <c r="CC46" s="13"/>
      <c r="CD46" s="13"/>
      <c r="CE46" s="25"/>
      <c r="CF46" s="18"/>
    </row>
    <row r="47" spans="1:84" s="16" customFormat="1" x14ac:dyDescent="0.25">
      <c r="A47" s="17"/>
      <c r="B47" s="25"/>
      <c r="C47" s="25"/>
      <c r="D47" s="25"/>
      <c r="E47" s="18">
        <f>IF(AND($B$16&gt;Criteria!A47,$B$16&lt;=Criteria!B47),1,0)</f>
        <v>0</v>
      </c>
      <c r="F47" s="25"/>
      <c r="G47" s="25"/>
      <c r="H47" s="18"/>
      <c r="I47" s="17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18"/>
      <c r="Y47" s="17"/>
      <c r="Z47" s="25"/>
      <c r="AA47" s="25"/>
      <c r="AB47" s="25"/>
      <c r="AC47" s="75"/>
      <c r="AD47" s="75"/>
      <c r="AE47" s="75"/>
      <c r="AF47" s="75"/>
      <c r="AG47" s="75"/>
      <c r="AH47" s="75"/>
      <c r="AI47" s="117"/>
      <c r="AJ47" s="117"/>
      <c r="AK47" s="117"/>
      <c r="AL47" s="117"/>
      <c r="AM47" s="117"/>
      <c r="AN47" s="117"/>
      <c r="AO47" s="120"/>
      <c r="AP47" s="120"/>
      <c r="AQ47" s="120"/>
      <c r="AR47" s="120"/>
      <c r="AS47" s="120"/>
      <c r="AT47" s="120"/>
      <c r="AU47" s="132"/>
      <c r="AV47" s="132"/>
      <c r="AW47" s="25"/>
      <c r="AX47" s="25"/>
      <c r="AY47" s="25"/>
      <c r="AZ47" s="25"/>
      <c r="BA47" s="25"/>
      <c r="BB47" s="25"/>
      <c r="BC47" s="17"/>
      <c r="BD47" s="13"/>
      <c r="BE47" s="13"/>
      <c r="BF47" s="13"/>
      <c r="BG47" s="75"/>
      <c r="BH47" s="75"/>
      <c r="BI47" s="75"/>
      <c r="BJ47" s="75"/>
      <c r="BK47" s="75"/>
      <c r="BL47" s="75"/>
      <c r="BM47" s="117"/>
      <c r="BN47" s="117"/>
      <c r="BO47" s="117"/>
      <c r="BP47" s="117"/>
      <c r="BQ47" s="117"/>
      <c r="BR47" s="117"/>
      <c r="BS47" s="120"/>
      <c r="BT47" s="120"/>
      <c r="BU47" s="120"/>
      <c r="BV47" s="120"/>
      <c r="BW47" s="120"/>
      <c r="BX47" s="120"/>
      <c r="BY47" s="132"/>
      <c r="BZ47" s="132"/>
      <c r="CA47" s="13"/>
      <c r="CB47" s="13"/>
      <c r="CC47" s="13"/>
      <c r="CD47" s="13"/>
      <c r="CE47" s="25"/>
      <c r="CF47" s="18"/>
    </row>
    <row r="48" spans="1:84" s="16" customFormat="1" x14ac:dyDescent="0.25">
      <c r="A48" s="43"/>
      <c r="B48" s="44"/>
      <c r="C48" s="44"/>
      <c r="D48" s="44"/>
      <c r="E48" s="45">
        <f>SUM(E40:E47)</f>
        <v>1</v>
      </c>
      <c r="F48" s="44"/>
      <c r="G48" s="44"/>
      <c r="H48" s="44">
        <f>SUM(H40:H47)</f>
        <v>1</v>
      </c>
      <c r="I48" s="43"/>
      <c r="J48" s="44"/>
      <c r="K48" s="44"/>
      <c r="L48" s="44"/>
      <c r="M48" s="44"/>
      <c r="N48" s="44"/>
      <c r="O48" s="44">
        <f>IF(SUM(O40:O47)&gt;=1,1,0)</f>
        <v>1</v>
      </c>
      <c r="P48" s="44"/>
      <c r="Q48" s="44"/>
      <c r="R48" s="44">
        <f>IF(SUM(R40:R47)&gt;=1,1,0)</f>
        <v>1</v>
      </c>
      <c r="S48" s="44"/>
      <c r="T48" s="44"/>
      <c r="U48" s="44">
        <f>IF(SUM(U40:U47)&gt;=1,1,0)</f>
        <v>1</v>
      </c>
      <c r="V48" s="44">
        <f>IF(SUM(V40:V47)&gt;=1,1,0)</f>
        <v>1</v>
      </c>
      <c r="W48" s="44"/>
      <c r="X48" s="45"/>
      <c r="Y48" s="43"/>
      <c r="Z48" s="44"/>
      <c r="AA48" s="44"/>
      <c r="AB48" s="44">
        <f>IF(SUM(AB41:AB47)&gt;=1,1,0)</f>
        <v>1</v>
      </c>
      <c r="AC48" s="114"/>
      <c r="AD48" s="114"/>
      <c r="AE48" s="114">
        <f>IF(SUM(AE41:AE47)&gt;=1,1,0)</f>
        <v>1</v>
      </c>
      <c r="AF48" s="114"/>
      <c r="AG48" s="114"/>
      <c r="AH48" s="114">
        <f>IF(SUM(AH41:AH47)&gt;=1,1,0)</f>
        <v>1</v>
      </c>
      <c r="AI48" s="118"/>
      <c r="AJ48" s="118"/>
      <c r="AK48" s="118">
        <f>IF(SUM(AK41:AK47)&gt;=1,1,0)</f>
        <v>1</v>
      </c>
      <c r="AL48" s="118"/>
      <c r="AM48" s="118"/>
      <c r="AN48" s="118">
        <f>IF(SUM(AN41:AN47)&gt;=1,1,0)</f>
        <v>1</v>
      </c>
      <c r="AO48" s="121"/>
      <c r="AP48" s="121"/>
      <c r="AQ48" s="121">
        <f>IF(SUM(AQ41:AQ47)&gt;=1,1,0)</f>
        <v>1</v>
      </c>
      <c r="AR48" s="121"/>
      <c r="AS48" s="121"/>
      <c r="AT48" s="121">
        <f>IF(SUM(AT41:AT47)&gt;=1,1,0)</f>
        <v>1</v>
      </c>
      <c r="AU48" s="133">
        <f>IF(SUM(AU41:AU47)&gt;=1,1,0)</f>
        <v>0</v>
      </c>
      <c r="AV48" s="133">
        <f>IF(SUM(AV41:AV47)&gt;=1,1,0)</f>
        <v>0</v>
      </c>
      <c r="AW48" s="44"/>
      <c r="AX48" s="44"/>
      <c r="AY48" s="44">
        <f>IF(SUM(AY41:AY47)&gt;=1,1,0)</f>
        <v>1</v>
      </c>
      <c r="AZ48" s="44">
        <f>IF(SUM(AZ41:AZ47)&gt;=1,1,0)</f>
        <v>0</v>
      </c>
      <c r="BA48" s="44"/>
      <c r="BB48" s="44"/>
      <c r="BC48" s="43"/>
      <c r="BD48" s="61"/>
      <c r="BE48" s="61"/>
      <c r="BF48" s="61">
        <f>IF(SUM(BF41:BF47)&gt;=1,1,0)</f>
        <v>1</v>
      </c>
      <c r="BG48" s="114"/>
      <c r="BH48" s="114"/>
      <c r="BI48" s="114">
        <f>IF(SUM(BI41:BI47)&gt;=1,1,0)</f>
        <v>1</v>
      </c>
      <c r="BJ48" s="114"/>
      <c r="BK48" s="114"/>
      <c r="BL48" s="114">
        <f>IF(SUM(BL41:BL47)&gt;=1,1,0)</f>
        <v>1</v>
      </c>
      <c r="BM48" s="118"/>
      <c r="BN48" s="118"/>
      <c r="BO48" s="118">
        <f>IF(SUM(BO41:BO47)&gt;=1,1,0)</f>
        <v>1</v>
      </c>
      <c r="BP48" s="118"/>
      <c r="BQ48" s="118"/>
      <c r="BR48" s="118">
        <f>IF(SUM(BR41:BR47)&gt;=1,1,0)</f>
        <v>1</v>
      </c>
      <c r="BS48" s="121"/>
      <c r="BT48" s="121"/>
      <c r="BU48" s="121">
        <f>IF(SUM(BU41:BU47)&gt;=1,1,0)</f>
        <v>1</v>
      </c>
      <c r="BV48" s="121"/>
      <c r="BW48" s="121"/>
      <c r="BX48" s="121">
        <f>IF(SUM(BX41:BX47)&gt;=1,1,0)</f>
        <v>1</v>
      </c>
      <c r="BY48" s="133">
        <f>IF(SUM(BY41:BY47)&gt;=1,1,0)</f>
        <v>0</v>
      </c>
      <c r="BZ48" s="133">
        <f>IF(SUM(BZ41:BZ47)&gt;=1,1,0)</f>
        <v>0</v>
      </c>
      <c r="CA48" s="61"/>
      <c r="CB48" s="61"/>
      <c r="CC48" s="61">
        <f>IF(SUM(CC41:CC47)&gt;=1,1,0)</f>
        <v>1</v>
      </c>
      <c r="CD48" s="61">
        <f>IF(SUM(CD41:CD47)&gt;=1,1,0)</f>
        <v>0</v>
      </c>
      <c r="CE48" s="44"/>
      <c r="CF48" s="45"/>
    </row>
    <row r="49" spans="1:84" s="16" customFormat="1" x14ac:dyDescent="0.25"/>
    <row r="50" spans="1:84" s="16" customFormat="1" x14ac:dyDescent="0.25"/>
    <row r="51" spans="1:84" s="16" customFormat="1" x14ac:dyDescent="0.25">
      <c r="A51" s="54" t="s">
        <v>80</v>
      </c>
      <c r="I51" s="54" t="s">
        <v>80</v>
      </c>
      <c r="J51" s="54"/>
      <c r="K51" s="54"/>
      <c r="L51" s="54"/>
      <c r="Y51" s="54" t="s">
        <v>80</v>
      </c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BC51" s="54" t="s">
        <v>80</v>
      </c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  <c r="CE51" s="103"/>
      <c r="CF51" s="103"/>
    </row>
    <row r="52" spans="1:84" s="16" customFormat="1" x14ac:dyDescent="0.25">
      <c r="A52" s="58" t="s">
        <v>254</v>
      </c>
      <c r="B52" s="59"/>
      <c r="C52" s="59"/>
      <c r="D52" s="59"/>
      <c r="E52" s="44"/>
      <c r="F52" s="44"/>
      <c r="G52" s="44"/>
      <c r="H52" s="45"/>
      <c r="I52" s="50" t="s">
        <v>248</v>
      </c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  <c r="Y52" s="43" t="s">
        <v>235</v>
      </c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5"/>
      <c r="BC52" s="21" t="s">
        <v>242</v>
      </c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3"/>
    </row>
    <row r="53" spans="1:84" s="16" customFormat="1" x14ac:dyDescent="0.25">
      <c r="A53" s="21" t="s">
        <v>251</v>
      </c>
      <c r="B53" s="22" t="s">
        <v>252</v>
      </c>
      <c r="C53" s="22" t="s">
        <v>162</v>
      </c>
      <c r="D53" s="22" t="s">
        <v>3</v>
      </c>
      <c r="E53" s="23" t="s">
        <v>261</v>
      </c>
      <c r="F53" s="25" t="s">
        <v>255</v>
      </c>
      <c r="G53" s="25" t="s">
        <v>256</v>
      </c>
      <c r="H53" s="18" t="s">
        <v>262</v>
      </c>
      <c r="I53" s="55" t="s">
        <v>231</v>
      </c>
      <c r="J53" s="56" t="s">
        <v>236</v>
      </c>
      <c r="K53" s="56" t="s">
        <v>237</v>
      </c>
      <c r="L53" s="56" t="s">
        <v>238</v>
      </c>
      <c r="M53" s="56" t="s">
        <v>232</v>
      </c>
      <c r="N53" s="56" t="s">
        <v>233</v>
      </c>
      <c r="O53" s="56" t="s">
        <v>234</v>
      </c>
      <c r="P53" s="56" t="s">
        <v>486</v>
      </c>
      <c r="Q53" s="56" t="s">
        <v>487</v>
      </c>
      <c r="R53" s="56" t="s">
        <v>488</v>
      </c>
      <c r="S53" s="56" t="s">
        <v>239</v>
      </c>
      <c r="T53" s="56" t="s">
        <v>240</v>
      </c>
      <c r="U53" s="56" t="s">
        <v>241</v>
      </c>
      <c r="V53" s="56" t="s">
        <v>202</v>
      </c>
      <c r="W53" s="56" t="s">
        <v>246</v>
      </c>
      <c r="X53" s="57" t="s">
        <v>247</v>
      </c>
      <c r="AC53" s="126" t="s">
        <v>105</v>
      </c>
      <c r="AD53" s="75"/>
      <c r="AE53" s="75"/>
      <c r="AF53" s="75"/>
      <c r="AG53" s="75"/>
      <c r="AH53" s="75"/>
      <c r="AI53" s="127" t="s">
        <v>7</v>
      </c>
      <c r="AJ53" s="104"/>
      <c r="AK53" s="104"/>
      <c r="AL53" s="104"/>
      <c r="AM53" s="104"/>
      <c r="AN53" s="104"/>
      <c r="AO53" s="128" t="s">
        <v>45</v>
      </c>
      <c r="AP53" s="129"/>
      <c r="AQ53" s="119"/>
      <c r="AR53" s="119"/>
      <c r="AS53" s="119"/>
      <c r="AT53" s="119"/>
      <c r="AU53" s="115" t="s">
        <v>514</v>
      </c>
      <c r="AV53" s="115"/>
      <c r="AW53" s="34"/>
      <c r="AX53" s="34"/>
      <c r="AY53" s="34"/>
      <c r="AZ53" s="34"/>
      <c r="BA53" s="34"/>
      <c r="BB53" s="36"/>
      <c r="BC53" s="55"/>
      <c r="BD53" s="56"/>
      <c r="BE53" s="56"/>
      <c r="BF53" s="56"/>
      <c r="BG53" s="126" t="s">
        <v>105</v>
      </c>
      <c r="BH53" s="75"/>
      <c r="BI53" s="75"/>
      <c r="BJ53" s="75"/>
      <c r="BK53" s="75"/>
      <c r="BL53" s="75"/>
      <c r="BM53" s="127" t="s">
        <v>7</v>
      </c>
      <c r="BN53" s="104"/>
      <c r="BO53" s="104"/>
      <c r="BP53" s="104"/>
      <c r="BQ53" s="104"/>
      <c r="BR53" s="104"/>
      <c r="BS53" s="128" t="s">
        <v>45</v>
      </c>
      <c r="BT53" s="129"/>
      <c r="BU53" s="119"/>
      <c r="BV53" s="119"/>
      <c r="BW53" s="119"/>
      <c r="BX53" s="119"/>
      <c r="BY53" s="115" t="s">
        <v>514</v>
      </c>
      <c r="BZ53" s="115"/>
      <c r="CA53" s="56"/>
      <c r="CB53" s="56"/>
      <c r="CC53" s="56"/>
      <c r="CD53" s="56"/>
      <c r="CE53" s="56"/>
      <c r="CF53" s="57"/>
    </row>
    <row r="54" spans="1:84" s="16" customFormat="1" x14ac:dyDescent="0.25">
      <c r="A54" s="17">
        <v>20</v>
      </c>
      <c r="B54" s="25">
        <v>23.5</v>
      </c>
      <c r="C54" s="25">
        <v>62</v>
      </c>
      <c r="D54" s="25">
        <v>48.7</v>
      </c>
      <c r="E54" s="18">
        <f>IF(AND($B$16&gt;=Criteria!A54,$B$16&lt;=Criteria!B54),1,0)</f>
        <v>1</v>
      </c>
      <c r="F54" s="16">
        <v>5</v>
      </c>
      <c r="G54" s="16">
        <v>19</v>
      </c>
      <c r="H54" s="18">
        <f>IF(AND($B$15&gt;=F54,$B$15&lt;=G54),1,0)</f>
        <v>1</v>
      </c>
      <c r="I54" s="17" t="s">
        <v>171</v>
      </c>
      <c r="J54" s="25" t="s">
        <v>87</v>
      </c>
      <c r="K54" s="25" t="s">
        <v>87</v>
      </c>
      <c r="L54" s="25" t="s">
        <v>87</v>
      </c>
      <c r="M54" s="34">
        <v>16</v>
      </c>
      <c r="N54" s="34">
        <v>54</v>
      </c>
      <c r="O54" s="25">
        <f>IF(AND($B$14&gt;=M54,$B$14&lt;=N54),1,0)</f>
        <v>0</v>
      </c>
      <c r="P54" s="25">
        <v>37</v>
      </c>
      <c r="Q54" s="34">
        <v>72</v>
      </c>
      <c r="R54" s="25">
        <f>IF(AND(Q54="NA",K54&lt;&gt;"NA"),L54,IF(AND($B$13&gt;=P54,$B$13&lt;=Q54),1,0))</f>
        <v>0</v>
      </c>
      <c r="S54" s="25">
        <v>0.2</v>
      </c>
      <c r="T54" s="25">
        <v>4</v>
      </c>
      <c r="U54" s="25">
        <f>IF(AND($B$17&gt;=S54,$B$17&lt;=T54),1,0)</f>
        <v>1</v>
      </c>
      <c r="V54" s="25">
        <f>IF(AND(IF(L54="NA",1,L54)=1,IF(O54="NA",1,O54)=1,IF(R54="NA",1,R54)=1,IF(U54="NA",1,U54)=1),1,0)</f>
        <v>0</v>
      </c>
      <c r="W54" s="25">
        <v>1</v>
      </c>
      <c r="X54" s="18" t="str">
        <f>IF(V54=1,W54,"NA")</f>
        <v>NA</v>
      </c>
      <c r="Y54" s="35" t="s">
        <v>231</v>
      </c>
      <c r="Z54" s="34" t="s">
        <v>236</v>
      </c>
      <c r="AA54" s="34" t="s">
        <v>237</v>
      </c>
      <c r="AB54" s="34" t="s">
        <v>238</v>
      </c>
      <c r="AC54" s="75" t="s">
        <v>232</v>
      </c>
      <c r="AD54" s="75" t="s">
        <v>233</v>
      </c>
      <c r="AE54" s="75" t="s">
        <v>234</v>
      </c>
      <c r="AF54" s="75" t="s">
        <v>486</v>
      </c>
      <c r="AG54" s="75" t="s">
        <v>487</v>
      </c>
      <c r="AH54" s="75" t="s">
        <v>488</v>
      </c>
      <c r="AI54" s="117" t="s">
        <v>232</v>
      </c>
      <c r="AJ54" s="117" t="s">
        <v>233</v>
      </c>
      <c r="AK54" s="117" t="s">
        <v>234</v>
      </c>
      <c r="AL54" s="117" t="s">
        <v>486</v>
      </c>
      <c r="AM54" s="117" t="s">
        <v>487</v>
      </c>
      <c r="AN54" s="117" t="s">
        <v>488</v>
      </c>
      <c r="AO54" s="120" t="s">
        <v>232</v>
      </c>
      <c r="AP54" s="120" t="s">
        <v>233</v>
      </c>
      <c r="AQ54" s="120" t="s">
        <v>234</v>
      </c>
      <c r="AR54" s="120" t="s">
        <v>486</v>
      </c>
      <c r="AS54" s="120" t="s">
        <v>487</v>
      </c>
      <c r="AT54" s="120" t="s">
        <v>488</v>
      </c>
      <c r="AU54" s="116" t="s">
        <v>234</v>
      </c>
      <c r="AV54" s="116" t="s">
        <v>488</v>
      </c>
      <c r="AW54" s="25" t="s">
        <v>239</v>
      </c>
      <c r="AX54" s="25" t="s">
        <v>240</v>
      </c>
      <c r="AY54" s="25" t="s">
        <v>241</v>
      </c>
      <c r="AZ54" s="25" t="s">
        <v>202</v>
      </c>
      <c r="BA54" s="25" t="s">
        <v>246</v>
      </c>
      <c r="BB54" s="18" t="s">
        <v>247</v>
      </c>
      <c r="BC54" s="17" t="s">
        <v>231</v>
      </c>
      <c r="BD54" s="13" t="s">
        <v>243</v>
      </c>
      <c r="BE54" s="13" t="s">
        <v>244</v>
      </c>
      <c r="BF54" s="13" t="s">
        <v>245</v>
      </c>
      <c r="BG54" s="75" t="s">
        <v>232</v>
      </c>
      <c r="BH54" s="75" t="s">
        <v>233</v>
      </c>
      <c r="BI54" s="75" t="s">
        <v>234</v>
      </c>
      <c r="BJ54" s="75" t="s">
        <v>486</v>
      </c>
      <c r="BK54" s="75" t="s">
        <v>487</v>
      </c>
      <c r="BL54" s="75" t="s">
        <v>488</v>
      </c>
      <c r="BM54" s="117" t="s">
        <v>232</v>
      </c>
      <c r="BN54" s="117" t="s">
        <v>233</v>
      </c>
      <c r="BO54" s="117" t="s">
        <v>234</v>
      </c>
      <c r="BP54" s="117" t="s">
        <v>486</v>
      </c>
      <c r="BQ54" s="117" t="s">
        <v>487</v>
      </c>
      <c r="BR54" s="117" t="s">
        <v>488</v>
      </c>
      <c r="BS54" s="120" t="s">
        <v>232</v>
      </c>
      <c r="BT54" s="120" t="s">
        <v>233</v>
      </c>
      <c r="BU54" s="120" t="s">
        <v>234</v>
      </c>
      <c r="BV54" s="120" t="s">
        <v>486</v>
      </c>
      <c r="BW54" s="120" t="s">
        <v>487</v>
      </c>
      <c r="BX54" s="120" t="s">
        <v>488</v>
      </c>
      <c r="BY54" s="116" t="s">
        <v>234</v>
      </c>
      <c r="BZ54" s="116" t="s">
        <v>488</v>
      </c>
      <c r="CA54" s="13" t="s">
        <v>239</v>
      </c>
      <c r="CB54" s="13" t="s">
        <v>240</v>
      </c>
      <c r="CC54" s="13" t="s">
        <v>241</v>
      </c>
      <c r="CD54" s="13" t="s">
        <v>202</v>
      </c>
      <c r="CE54" s="25" t="s">
        <v>246</v>
      </c>
      <c r="CF54" s="60" t="s">
        <v>247</v>
      </c>
    </row>
    <row r="55" spans="1:84" s="16" customFormat="1" x14ac:dyDescent="0.25">
      <c r="A55" s="17">
        <v>23.5</v>
      </c>
      <c r="B55" s="25">
        <v>27</v>
      </c>
      <c r="C55" s="25">
        <v>62</v>
      </c>
      <c r="D55" s="25">
        <v>45.2</v>
      </c>
      <c r="E55" s="18">
        <f>IF(AND($B$16&gt;Criteria!A55,$B$16&lt;=Criteria!B55),1,0)</f>
        <v>0</v>
      </c>
      <c r="H55" s="18"/>
      <c r="I55" s="17" t="s">
        <v>172</v>
      </c>
      <c r="J55" s="25" t="s">
        <v>87</v>
      </c>
      <c r="K55" s="25" t="s">
        <v>87</v>
      </c>
      <c r="L55" s="25" t="s">
        <v>87</v>
      </c>
      <c r="M55" s="34">
        <v>16</v>
      </c>
      <c r="N55" s="34">
        <v>85</v>
      </c>
      <c r="O55" s="25">
        <f>IF(AND($B$14&gt;=M55,$B$14&lt;=N55),1,0)</f>
        <v>1</v>
      </c>
      <c r="P55" s="25">
        <v>72</v>
      </c>
      <c r="Q55" s="34">
        <v>107</v>
      </c>
      <c r="R55" s="25">
        <f>IF(AND(Q55="NA",K55&lt;&gt;"NA"),L55,IF(AND($B$13&gt;=P55,$B$13&lt;=Q55),1,0))</f>
        <v>1</v>
      </c>
      <c r="S55" s="25">
        <v>0.2</v>
      </c>
      <c r="T55" s="25">
        <v>4</v>
      </c>
      <c r="U55" s="25">
        <f>IF(AND($B$17&gt;=S55,$B$17&lt;=T55),1,0)</f>
        <v>1</v>
      </c>
      <c r="V55" s="25">
        <f>IF(AND(IF(L55="NA",1,L55)=1,IF(O55="NA",1,O55)=1,IF(R55="NA",1,R55)=1,IF(U55="NA",1,U55)=1),1,0)</f>
        <v>1</v>
      </c>
      <c r="W55" s="25">
        <v>2</v>
      </c>
      <c r="X55" s="18">
        <f>IF(V55=1,W55,"NA")</f>
        <v>2</v>
      </c>
      <c r="Y55" s="17" t="s">
        <v>278</v>
      </c>
      <c r="Z55" s="25">
        <v>0</v>
      </c>
      <c r="AA55" s="25">
        <v>200</v>
      </c>
      <c r="AB55" s="13">
        <f>IF(AA55="NA",1,IF(AND($B$18&gt;=Z55,$B$18&lt;=AA55),1,0))</f>
        <v>1</v>
      </c>
      <c r="AC55" s="122">
        <v>0</v>
      </c>
      <c r="AD55" s="122">
        <f>IF($B$13-6.5&gt;AG55-6.5,AG55-6.5,$B$13-6.5)</f>
        <v>39.5</v>
      </c>
      <c r="AE55" s="122">
        <f>IF(AD55="NA",1,IF(AND($B$14&gt;=AC55,$B$14&lt;=AD55),1,0))</f>
        <v>0</v>
      </c>
      <c r="AF55" s="75">
        <v>0</v>
      </c>
      <c r="AG55" s="75">
        <v>46</v>
      </c>
      <c r="AH55" s="75">
        <f>IF(AND($B$13&gt;=AF55,$B$13&lt;=AG55),1,0)</f>
        <v>0</v>
      </c>
      <c r="AI55" s="117">
        <v>0</v>
      </c>
      <c r="AJ55" s="117">
        <f>IF($B$13-9.7&gt;AM55-9.7,AM55-9.7,$B$13-9.7)</f>
        <v>33.299999999999997</v>
      </c>
      <c r="AK55" s="117">
        <f>IF(AJ55="NA",1,IF(AND($B$14&gt;=AI55,$B$14&lt;=AJ55),1,0))</f>
        <v>0</v>
      </c>
      <c r="AL55" s="117">
        <v>0</v>
      </c>
      <c r="AM55" s="117">
        <v>43</v>
      </c>
      <c r="AN55" s="130">
        <f>IF(AM55="NA",1,IF(AND($B$13&gt;=AL55,$B$13&lt;=AM55),1,0))</f>
        <v>0</v>
      </c>
      <c r="AO55" s="120">
        <v>0</v>
      </c>
      <c r="AP55" s="120">
        <f>IF($B$13-11&gt;AS55-11,AS55-11,$B$13-11)</f>
        <v>31</v>
      </c>
      <c r="AQ55" s="120">
        <f>IF(AP55="NA",1,IF(AND($B$14&gt;=AO55,$B$14&lt;=AP55),1,0))</f>
        <v>0</v>
      </c>
      <c r="AR55" s="120">
        <v>0</v>
      </c>
      <c r="AS55" s="120">
        <v>42</v>
      </c>
      <c r="AT55" s="120">
        <f>IF(AS55="NA",1,IF(AND($B$13&gt;=AR55,$B$13&lt;=AS55),1,0))</f>
        <v>0</v>
      </c>
      <c r="AU55" s="132" t="str">
        <f>IF($C$22="M3",AE55,IF($C$22="M4",AK55,IF($C$22="M5",AQ55,"???")))</f>
        <v>???</v>
      </c>
      <c r="AV55" s="132" t="str">
        <f>IF($C$22="M3",AH55,IF($C$22="M4",AN55,IF($C$22="M5",AT55,"???")))</f>
        <v>???</v>
      </c>
      <c r="AW55" s="25">
        <v>0.2</v>
      </c>
      <c r="AX55" s="25">
        <v>4</v>
      </c>
      <c r="AY55" s="25">
        <f>IF(AND($B$17&gt;=AW55,$B$17&lt;=AX55),1,0)</f>
        <v>1</v>
      </c>
      <c r="AZ55" s="25">
        <f>IF(AND(IF(AB55="NA",1,AB55)=1,IF(AU55="NA",1,AU55)=1,IF(AV55="NA",1,AV55)=1,IF(AY55="NA",1,AY55)=1),1,0)</f>
        <v>0</v>
      </c>
      <c r="BA55" s="25">
        <v>1</v>
      </c>
      <c r="BB55" s="18" t="str">
        <f>IF(AZ55=1,BA55,"NA")</f>
        <v>NA</v>
      </c>
      <c r="BC55" s="17" t="s">
        <v>278</v>
      </c>
      <c r="BD55" s="13">
        <v>0</v>
      </c>
      <c r="BE55" s="13">
        <v>60</v>
      </c>
      <c r="BF55" s="13">
        <f>IF(BE55="NA",1,IF(AND($B$18&gt;=BD55,$B$18&lt;=BE55),1,0))</f>
        <v>0</v>
      </c>
      <c r="BG55" s="122">
        <v>0</v>
      </c>
      <c r="BH55" s="122">
        <f>IF($B$13-6.5&gt;BK55-6.5,BK55-6.5,$B$13-6.5)</f>
        <v>39.5</v>
      </c>
      <c r="BI55" s="122">
        <f>IF(BH55="NA",1,IF(AND($B$14&gt;=BG55,$B$14&lt;=BH55),1,0))</f>
        <v>0</v>
      </c>
      <c r="BJ55" s="75">
        <v>0</v>
      </c>
      <c r="BK55" s="75">
        <v>46</v>
      </c>
      <c r="BL55" s="75">
        <f>IF(AND($B$13&gt;=BJ55,$B$13&lt;=BK55),1,0)</f>
        <v>0</v>
      </c>
      <c r="BM55" s="117">
        <v>0</v>
      </c>
      <c r="BN55" s="117">
        <f>IF($B$13-9.7&gt;BQ55-9.7,BQ55-9.7,$B$13-9.7)</f>
        <v>33.299999999999997</v>
      </c>
      <c r="BO55" s="117">
        <f>IF(BN55="NA",1,IF(AND($B$14&gt;=BM55,$B$14&lt;=BN55),1,0))</f>
        <v>0</v>
      </c>
      <c r="BP55" s="117">
        <v>0</v>
      </c>
      <c r="BQ55" s="117">
        <v>43</v>
      </c>
      <c r="BR55" s="130">
        <f>IF(BQ55="NA",1,IF(AND($B$13&gt;=BP55,$B$13&lt;=BQ55),1,0))</f>
        <v>0</v>
      </c>
      <c r="BS55" s="120">
        <v>0</v>
      </c>
      <c r="BT55" s="120">
        <f>IF($B$13-11&gt;BW55-11,BW55-11,$B$13-11)</f>
        <v>31</v>
      </c>
      <c r="BU55" s="120">
        <f>IF(BT55="NA",1,IF(AND($B$14&gt;=BS55,$B$14&lt;=BT55),1,0))</f>
        <v>0</v>
      </c>
      <c r="BV55" s="120">
        <v>0</v>
      </c>
      <c r="BW55" s="120">
        <v>42</v>
      </c>
      <c r="BX55" s="120">
        <f>IF(BW55="NA",1,IF(AND($B$13&gt;=BV55,$B$13&lt;=BW55),1,0))</f>
        <v>0</v>
      </c>
      <c r="BY55" s="132" t="str">
        <f>IF($C$22="M3",BI55,IF($C$22="M4",BO55,IF($C$22="M5",BU55,"???")))</f>
        <v>???</v>
      </c>
      <c r="BZ55" s="132" t="str">
        <f>IF($C$22="M3",BL55,IF($C$22="M4",BR55,IF($C$22="M5",BX55,"???")))</f>
        <v>???</v>
      </c>
      <c r="CA55" s="13">
        <v>0.2</v>
      </c>
      <c r="CB55" s="13">
        <v>4</v>
      </c>
      <c r="CC55" s="13">
        <f>IF(AND($B$17&gt;=CA55,$B$17&lt;=CB55),1,0)</f>
        <v>1</v>
      </c>
      <c r="CD55" s="25">
        <f>IF(AND(IF(BF55="NA",1,BF55)=1,IF(BY55="NA",1,BY55)=1,IF(BZ55="NA",1,BZ55)=1,IF(CC55="NA",1,CC55)=1),1,0)</f>
        <v>0</v>
      </c>
      <c r="CE55" s="25">
        <v>1</v>
      </c>
      <c r="CF55" s="60" t="str">
        <f>IF(CD55=1,CE55,"NA")</f>
        <v>NA</v>
      </c>
    </row>
    <row r="56" spans="1:84" s="16" customFormat="1" x14ac:dyDescent="0.25">
      <c r="A56" s="17">
        <v>27</v>
      </c>
      <c r="B56" s="25">
        <v>30.5</v>
      </c>
      <c r="C56" s="25">
        <v>69</v>
      </c>
      <c r="D56" s="25">
        <v>48.7</v>
      </c>
      <c r="E56" s="18">
        <f>IF(AND($B$16&gt;Criteria!A56,$B$16&lt;=Criteria!B56),1,0)</f>
        <v>0</v>
      </c>
      <c r="H56" s="18"/>
      <c r="I56" s="17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18"/>
      <c r="Y56" s="17" t="s">
        <v>279</v>
      </c>
      <c r="Z56" s="25">
        <v>0</v>
      </c>
      <c r="AA56" s="25">
        <v>300</v>
      </c>
      <c r="AB56" s="13">
        <f>IF(AA56="NA",1,IF(AND($B$18&gt;=Z56,$B$18&lt;=AA56),1,0))</f>
        <v>1</v>
      </c>
      <c r="AC56" s="122">
        <v>0</v>
      </c>
      <c r="AD56" s="122">
        <f>IF($B$13-6.5&gt;AG56-6.5,AG56-6.5,$B$13-6.5)</f>
        <v>61.5</v>
      </c>
      <c r="AE56" s="122">
        <f>IF(AD56="NA",1,IF(AND($B$14&gt;=AC56,$B$14&lt;=AD56),1,0))</f>
        <v>1</v>
      </c>
      <c r="AF56" s="75">
        <v>0</v>
      </c>
      <c r="AG56" s="75">
        <v>68</v>
      </c>
      <c r="AH56" s="75">
        <f>IF(AND($B$13&gt;=AF56,$B$13&lt;=AG56),1,0)</f>
        <v>0</v>
      </c>
      <c r="AI56" s="117">
        <v>0</v>
      </c>
      <c r="AJ56" s="117">
        <f>IF($B$13-9.7&gt;AM56-9.7,AM56-9.7,$B$13-9.7)</f>
        <v>55.3</v>
      </c>
      <c r="AK56" s="117">
        <f>IF(AJ56="NA",1,IF(AND($B$14&gt;=AI56,$B$14&lt;=AJ56),1,0))</f>
        <v>0</v>
      </c>
      <c r="AL56" s="117">
        <v>0</v>
      </c>
      <c r="AM56" s="117">
        <v>65</v>
      </c>
      <c r="AN56" s="130">
        <f>IF(AM56="NA",1,IF(AND($B$13&gt;=AL56,$B$13&lt;=AM56),1,0))</f>
        <v>0</v>
      </c>
      <c r="AO56" s="120">
        <v>0</v>
      </c>
      <c r="AP56" s="120">
        <f>IF($B$13-11&gt;AS56-11,AS56-11,$B$13-11)</f>
        <v>53</v>
      </c>
      <c r="AQ56" s="120">
        <f>IF(AP56="NA",1,IF(AND($B$14&gt;=AO56,$B$14&lt;=AP56),1,0))</f>
        <v>0</v>
      </c>
      <c r="AR56" s="120">
        <v>0</v>
      </c>
      <c r="AS56" s="120">
        <v>64</v>
      </c>
      <c r="AT56" s="120">
        <f>IF(AS56="NA",1,IF(AND($B$13&gt;=AR56,$B$13&lt;=AS56),1,0))</f>
        <v>0</v>
      </c>
      <c r="AU56" s="132" t="str">
        <f>IF($C$22="M3",AE56,IF($C$22="M4",AK56,IF($C$22="M5",AQ56,"???")))</f>
        <v>???</v>
      </c>
      <c r="AV56" s="132" t="str">
        <f>IF($C$22="M3",AH56,IF($C$22="M4",AN56,IF($C$22="M5",AT56,"???")))</f>
        <v>???</v>
      </c>
      <c r="AW56" s="25">
        <v>0.2</v>
      </c>
      <c r="AX56" s="25">
        <v>4</v>
      </c>
      <c r="AY56" s="25">
        <f>IF(AND($B$17&gt;=AW56,$B$17&lt;=AX56),1,0)</f>
        <v>1</v>
      </c>
      <c r="AZ56" s="25">
        <f>IF(AND(IF(AB56="NA",1,AB56)=1,IF(AU56="NA",1,AU56)=1,IF(AV56="NA",1,AV56)=1,IF(AY56="NA",1,AY56)=1),1,0)</f>
        <v>0</v>
      </c>
      <c r="BA56" s="25">
        <v>3</v>
      </c>
      <c r="BB56" s="18" t="str">
        <f>IF(AZ56=1,BA56,"NA")</f>
        <v>NA</v>
      </c>
      <c r="BC56" s="17" t="s">
        <v>279</v>
      </c>
      <c r="BD56" s="13">
        <v>0</v>
      </c>
      <c r="BE56" s="13">
        <v>90</v>
      </c>
      <c r="BF56" s="13">
        <f>IF(BE56="NA",1,IF(AND($B$18&gt;=BD56,$B$18&lt;=BE56),1,0))</f>
        <v>1</v>
      </c>
      <c r="BG56" s="122">
        <v>0</v>
      </c>
      <c r="BH56" s="122">
        <f>IF($B$13-6.5&gt;BK56-6.5,BK56-6.5,$B$13-6.5)</f>
        <v>61.5</v>
      </c>
      <c r="BI56" s="122">
        <f>IF(BH56="NA",1,IF(AND($B$14&gt;=BG56,$B$14&lt;=BH56),1,0))</f>
        <v>1</v>
      </c>
      <c r="BJ56" s="75">
        <v>0</v>
      </c>
      <c r="BK56" s="75">
        <v>68</v>
      </c>
      <c r="BL56" s="75">
        <f>IF(AND($B$13&gt;=BJ56,$B$13&lt;=BK56),1,0)</f>
        <v>0</v>
      </c>
      <c r="BM56" s="117">
        <v>0</v>
      </c>
      <c r="BN56" s="117">
        <f>IF($B$13-9.7&gt;BQ56-9.7,BQ56-9.7,$B$13-9.7)</f>
        <v>55.3</v>
      </c>
      <c r="BO56" s="117">
        <f>IF(BN56="NA",1,IF(AND($B$14&gt;=BM56,$B$14&lt;=BN56),1,0))</f>
        <v>0</v>
      </c>
      <c r="BP56" s="117">
        <v>0</v>
      </c>
      <c r="BQ56" s="117">
        <v>65</v>
      </c>
      <c r="BR56" s="130">
        <f>IF(BQ56="NA",1,IF(AND($B$13&gt;=BP56,$B$13&lt;=BQ56),1,0))</f>
        <v>0</v>
      </c>
      <c r="BS56" s="120">
        <v>0</v>
      </c>
      <c r="BT56" s="120">
        <f>IF($B$13-11&gt;BW56-11,BW56-11,$B$13-11)</f>
        <v>53</v>
      </c>
      <c r="BU56" s="120">
        <f>IF(BT56="NA",1,IF(AND($B$14&gt;=BS56,$B$14&lt;=BT56),1,0))</f>
        <v>0</v>
      </c>
      <c r="BV56" s="120">
        <v>0</v>
      </c>
      <c r="BW56" s="120">
        <v>64</v>
      </c>
      <c r="BX56" s="120">
        <f>IF(BW56="NA",1,IF(AND($B$13&gt;=BV56,$B$13&lt;=BW56),1,0))</f>
        <v>0</v>
      </c>
      <c r="BY56" s="132" t="str">
        <f>IF($C$22="M3",BI56,IF($C$22="M4",BO56,IF($C$22="M5",BU56,"???")))</f>
        <v>???</v>
      </c>
      <c r="BZ56" s="132" t="str">
        <f>IF($C$22="M3",BL56,IF($C$22="M4",BR56,IF($C$22="M5",BX56,"???")))</f>
        <v>???</v>
      </c>
      <c r="CA56" s="13">
        <v>0.2</v>
      </c>
      <c r="CB56" s="13">
        <v>4</v>
      </c>
      <c r="CC56" s="13">
        <f>IF(AND($B$17&gt;=CA56,$B$17&lt;=CB56),1,0)</f>
        <v>1</v>
      </c>
      <c r="CD56" s="25">
        <f>IF(AND(IF(BF56="NA",1,BF56)=1,IF(BY56="NA",1,BY56)=1,IF(BZ56="NA",1,BZ56)=1,IF(CC56="NA",1,CC56)=1),1,0)</f>
        <v>0</v>
      </c>
      <c r="CE56" s="25">
        <v>4</v>
      </c>
      <c r="CF56" s="60" t="str">
        <f>IF(CD56=1,CE56,"NA")</f>
        <v>NA</v>
      </c>
    </row>
    <row r="57" spans="1:84" s="16" customFormat="1" x14ac:dyDescent="0.25">
      <c r="A57" s="17">
        <v>30.5</v>
      </c>
      <c r="B57" s="25">
        <v>34</v>
      </c>
      <c r="C57" s="25">
        <v>69</v>
      </c>
      <c r="D57" s="25">
        <v>45.2</v>
      </c>
      <c r="E57" s="18">
        <f>IF(AND($B$16&gt;Criteria!A57,$B$16&lt;=Criteria!B57),1,0)</f>
        <v>0</v>
      </c>
      <c r="F57" s="25"/>
      <c r="G57" s="25"/>
      <c r="H57" s="18"/>
      <c r="I57" s="17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18"/>
      <c r="Y57" s="17" t="s">
        <v>172</v>
      </c>
      <c r="Z57" s="25" t="s">
        <v>87</v>
      </c>
      <c r="AA57" s="25" t="s">
        <v>87</v>
      </c>
      <c r="AB57" s="13">
        <f>IF(AA57="NA",1,IF(AND($B$18&gt;=Z57,$B$18&lt;=AA57),1,0))</f>
        <v>1</v>
      </c>
      <c r="AC57" s="75">
        <v>0</v>
      </c>
      <c r="AD57" s="75">
        <v>108</v>
      </c>
      <c r="AE57" s="122">
        <f>IF(AD57="NA",1,IF(AND($B$14&gt;=AC57,$B$14&lt;=AD57),1,0))</f>
        <v>1</v>
      </c>
      <c r="AF57" s="75">
        <v>82</v>
      </c>
      <c r="AG57" s="75">
        <v>110</v>
      </c>
      <c r="AH57" s="75">
        <f>IF(AND(AG57="NA",AA57&lt;&gt;"NA"),AB57,IF(AND($B$13&gt;=AF57,$B$13&lt;=AG57),1,0))</f>
        <v>0</v>
      </c>
      <c r="AI57" s="117">
        <v>0</v>
      </c>
      <c r="AJ57" s="117">
        <v>108</v>
      </c>
      <c r="AK57" s="117">
        <f>IF(AJ57="NA",1,IF(AND($B$14&gt;=AI57,$B$14&lt;=AJ57),1,0))</f>
        <v>1</v>
      </c>
      <c r="AL57" s="117">
        <v>82</v>
      </c>
      <c r="AM57" s="117">
        <v>110</v>
      </c>
      <c r="AN57" s="117">
        <f>IF(AND(AM57="NA",AG57&lt;&gt;"NA"),AH57,IF(AND($B$13&gt;=AL57,$B$13&lt;=AM57),1,0))</f>
        <v>0</v>
      </c>
      <c r="AO57" s="120">
        <v>0</v>
      </c>
      <c r="AP57" s="120">
        <v>108</v>
      </c>
      <c r="AQ57" s="120">
        <f>IF(AP57="NA",1,IF(AND($B$14&gt;=AO57,$B$14&lt;=AP57),1,0))</f>
        <v>1</v>
      </c>
      <c r="AR57" s="120">
        <v>82</v>
      </c>
      <c r="AS57" s="120">
        <v>110</v>
      </c>
      <c r="AT57" s="120">
        <f>IF(AND(AS57="NA",AM57&lt;&gt;"NA"),AN57,IF(AND($B$13&gt;=AR57,$B$13&lt;=AS57),1,0))</f>
        <v>0</v>
      </c>
      <c r="AU57" s="132" t="str">
        <f>IF($C$22="M3",AE57,IF($C$22="M4",AK57,IF($C$22="M5",AQ57,"???")))</f>
        <v>???</v>
      </c>
      <c r="AV57" s="132" t="str">
        <f>IF($C$22="M3",AH57,IF($C$22="M4",AN57,IF($C$22="M5",AT57,"???")))</f>
        <v>???</v>
      </c>
      <c r="AW57" s="25">
        <v>0.2</v>
      </c>
      <c r="AX57" s="25">
        <v>4</v>
      </c>
      <c r="AY57" s="25">
        <f>IF(AND($B$17&gt;=AW57,$B$17&lt;=AX57),1,0)</f>
        <v>1</v>
      </c>
      <c r="AZ57" s="25">
        <f>IF(AND(IF(AB57="NA",1,AB57)=1,IF(AU57="NA",1,AU57)=1,IF(AV57="NA",1,AV57)=1,IF(AY57="NA",1,AY57)=1),1,0)</f>
        <v>0</v>
      </c>
      <c r="BA57" s="25">
        <v>2</v>
      </c>
      <c r="BB57" s="18" t="str">
        <f>IF(AZ57=1,BA57,"NA")</f>
        <v>NA</v>
      </c>
      <c r="BC57" s="17" t="s">
        <v>172</v>
      </c>
      <c r="BD57" s="13" t="s">
        <v>87</v>
      </c>
      <c r="BE57" s="13" t="s">
        <v>87</v>
      </c>
      <c r="BF57" s="13">
        <f>IF(BE57="NA",1,IF(AND($B$18&gt;=BD57,$B$18&lt;=BE57),1,0))</f>
        <v>1</v>
      </c>
      <c r="BG57" s="75" t="s">
        <v>87</v>
      </c>
      <c r="BH57" s="75" t="s">
        <v>87</v>
      </c>
      <c r="BI57" s="122">
        <f>IF(BH57="NA",1,IF(AND($B$14&gt;=BG57,$B$14&lt;=BH57),1,0))</f>
        <v>1</v>
      </c>
      <c r="BJ57" s="75">
        <v>67</v>
      </c>
      <c r="BK57" s="75">
        <v>81</v>
      </c>
      <c r="BL57" s="75">
        <f>IF(AND($B$13&gt;=BJ57,$B$13&lt;=BK57),1,0)</f>
        <v>1</v>
      </c>
      <c r="BM57" s="117" t="s">
        <v>87</v>
      </c>
      <c r="BN57" s="117" t="s">
        <v>87</v>
      </c>
      <c r="BO57" s="117">
        <f>IF(BN57="NA",1,IF(AND($B$14&gt;=BM57,$B$14&lt;=BN57),1,0))</f>
        <v>1</v>
      </c>
      <c r="BP57" s="117">
        <v>82</v>
      </c>
      <c r="BQ57" s="117">
        <v>110</v>
      </c>
      <c r="BR57" s="130">
        <f>IF(BQ57="NA",1,IF(AND($B$13&gt;=BP57,$B$13&lt;=BQ57),1,0))</f>
        <v>0</v>
      </c>
      <c r="BS57" s="120" t="s">
        <v>87</v>
      </c>
      <c r="BT57" s="120" t="s">
        <v>87</v>
      </c>
      <c r="BU57" s="120" t="s">
        <v>87</v>
      </c>
      <c r="BV57" s="120">
        <v>82</v>
      </c>
      <c r="BW57" s="120">
        <v>110</v>
      </c>
      <c r="BX57" s="120">
        <f>IF(AND(BW57="NA",BQ57&lt;&gt;"NA"),BR57,IF(AND($B$13&gt;=BV57,$B$13&lt;=BW57),1,0))</f>
        <v>0</v>
      </c>
      <c r="BY57" s="132" t="str">
        <f>IF($C$22="M3",BI57,IF($C$22="M4",BO57,IF($C$22="M5",BU57,"???")))</f>
        <v>???</v>
      </c>
      <c r="BZ57" s="132" t="str">
        <f>IF($C$22="M3",BL57,IF($C$22="M4",BR57,IF($C$22="M5",BX57,"???")))</f>
        <v>???</v>
      </c>
      <c r="CA57" s="13">
        <v>0.2</v>
      </c>
      <c r="CB57" s="13">
        <v>4</v>
      </c>
      <c r="CC57" s="13">
        <f>IF(AND($B$17&gt;=CA57,$B$17&lt;=CB57),1,0)</f>
        <v>1</v>
      </c>
      <c r="CD57" s="25">
        <f>IF(AND(IF(BF57="NA",1,BF57)=1,IF(BY57="NA",1,BY57)=1,IF(BZ57="NA",1,BZ57)=1,IF(CC57="NA",1,CC57)=1),1,0)</f>
        <v>0</v>
      </c>
      <c r="CE57" s="34">
        <v>2</v>
      </c>
      <c r="CF57" s="60" t="str">
        <f>IF(CD57=1,CE57,"NA")</f>
        <v>NA</v>
      </c>
    </row>
    <row r="58" spans="1:84" s="16" customFormat="1" x14ac:dyDescent="0.25">
      <c r="A58" s="17">
        <v>34</v>
      </c>
      <c r="B58" s="25">
        <v>37.5</v>
      </c>
      <c r="C58" s="25">
        <v>76</v>
      </c>
      <c r="D58" s="25">
        <v>48.7</v>
      </c>
      <c r="E58" s="18">
        <f>IF(AND($B$16&gt;Criteria!A58,$B$16&lt;=Criteria!B58),1,0)</f>
        <v>0</v>
      </c>
      <c r="F58" s="25"/>
      <c r="G58" s="25"/>
      <c r="H58" s="18"/>
      <c r="I58" s="17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18"/>
      <c r="Y58" s="17"/>
      <c r="Z58" s="25"/>
      <c r="AA58" s="25"/>
      <c r="AB58" s="25"/>
      <c r="AC58" s="75"/>
      <c r="AD58" s="75"/>
      <c r="AE58" s="75"/>
      <c r="AF58" s="75"/>
      <c r="AG58" s="75"/>
      <c r="AH58" s="75"/>
      <c r="AI58" s="117"/>
      <c r="AJ58" s="117"/>
      <c r="AK58" s="117"/>
      <c r="AL58" s="117"/>
      <c r="AM58" s="117"/>
      <c r="AN58" s="117"/>
      <c r="AO58" s="120"/>
      <c r="AP58" s="120"/>
      <c r="AQ58" s="120"/>
      <c r="AR58" s="120"/>
      <c r="AS58" s="120"/>
      <c r="AT58" s="120"/>
      <c r="AU58" s="132"/>
      <c r="AV58" s="132"/>
      <c r="AW58" s="25"/>
      <c r="AX58" s="25"/>
      <c r="AY58" s="25"/>
      <c r="AZ58" s="25"/>
      <c r="BA58" s="25"/>
      <c r="BB58" s="18"/>
      <c r="BC58" s="17" t="s">
        <v>172</v>
      </c>
      <c r="BD58" s="13" t="s">
        <v>87</v>
      </c>
      <c r="BE58" s="13" t="s">
        <v>87</v>
      </c>
      <c r="BF58" s="13">
        <f>IF(BE58="NA",1,IF(AND($B$18&gt;=BD58,$B$18&lt;=BE58),1,0))</f>
        <v>1</v>
      </c>
      <c r="BG58" s="75" t="s">
        <v>87</v>
      </c>
      <c r="BH58" s="75" t="s">
        <v>87</v>
      </c>
      <c r="BI58" s="122">
        <f>IF(BH58="NA",1,IF(AND($B$14&gt;=BG58,$B$14&lt;=BH58),1,0))</f>
        <v>1</v>
      </c>
      <c r="BJ58" s="75">
        <v>82</v>
      </c>
      <c r="BK58" s="75">
        <v>110</v>
      </c>
      <c r="BL58" s="75">
        <f>IF(AND($B$13&gt;=BJ58,$B$13&lt;=BK58),1,0)</f>
        <v>0</v>
      </c>
      <c r="BM58" s="117" t="s">
        <v>87</v>
      </c>
      <c r="BN58" s="117" t="s">
        <v>87</v>
      </c>
      <c r="BO58" s="117">
        <f>IF(BN58="NA",1,IF(AND($B$14&gt;=BM58,$B$14&lt;=BN58),1,0))</f>
        <v>1</v>
      </c>
      <c r="BP58" s="117">
        <v>82</v>
      </c>
      <c r="BQ58" s="117">
        <v>110</v>
      </c>
      <c r="BR58" s="130">
        <f>IF(BQ58="NA",1,IF(AND($B$13&gt;=BP58,$B$13&lt;=BQ58),1,0))</f>
        <v>0</v>
      </c>
      <c r="BS58" s="120" t="s">
        <v>87</v>
      </c>
      <c r="BT58" s="120" t="s">
        <v>87</v>
      </c>
      <c r="BU58" s="120">
        <f>IF(BT58="NA",1,IF(AND($B$14&gt;=BS58,$B$14&lt;=BT58),1,0))</f>
        <v>1</v>
      </c>
      <c r="BV58" s="120">
        <v>82</v>
      </c>
      <c r="BW58" s="120">
        <v>110</v>
      </c>
      <c r="BX58" s="120">
        <f>IF(AND(BW58="NA",BQ58&lt;&gt;"NA"),BR58,IF(AND($B$13&gt;=BV58,$B$13&lt;=BW58),1,0))</f>
        <v>0</v>
      </c>
      <c r="BY58" s="132" t="str">
        <f>IF($C$22="M3",BI58,IF($C$22="M4",BO58,IF($C$22="M5",BU58,"???")))</f>
        <v>???</v>
      </c>
      <c r="BZ58" s="132" t="str">
        <f>IF($C$22="M3",BL58,IF($C$22="M4",BR58,IF($C$22="M5",BX58,"???")))</f>
        <v>???</v>
      </c>
      <c r="CA58" s="13">
        <v>0.2</v>
      </c>
      <c r="CB58" s="13">
        <v>4</v>
      </c>
      <c r="CC58" s="13">
        <f>IF(AND($B$17&gt;=CA58,$B$17&lt;=CB58),1,0)</f>
        <v>1</v>
      </c>
      <c r="CD58" s="25">
        <f>IF(AND(IF(BF58="NA",1,BF58)=1,IF(BY58="NA",1,BY58)=1,IF(BZ58="NA",1,BZ58)=1,IF(CC58="NA",1,CC58)=1),1,0)</f>
        <v>0</v>
      </c>
      <c r="CE58" s="34">
        <v>3</v>
      </c>
      <c r="CF58" s="60" t="str">
        <f>IF(CD58=1,CE58,"NA")</f>
        <v>NA</v>
      </c>
    </row>
    <row r="59" spans="1:84" s="16" customFormat="1" x14ac:dyDescent="0.25">
      <c r="A59" s="17">
        <v>37.5</v>
      </c>
      <c r="B59" s="25">
        <v>41</v>
      </c>
      <c r="C59" s="25">
        <v>76</v>
      </c>
      <c r="D59" s="25">
        <v>45.2</v>
      </c>
      <c r="E59" s="18">
        <f>IF(AND($B$16&gt;Criteria!A59,$B$16&lt;=Criteria!B59),1,0)</f>
        <v>0</v>
      </c>
      <c r="F59" s="25"/>
      <c r="G59" s="25"/>
      <c r="H59" s="18"/>
      <c r="I59" s="17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18"/>
      <c r="Y59" s="17"/>
      <c r="Z59" s="25"/>
      <c r="AA59" s="25"/>
      <c r="AB59" s="25"/>
      <c r="AC59" s="75"/>
      <c r="AD59" s="75"/>
      <c r="AE59" s="75"/>
      <c r="AF59" s="75"/>
      <c r="AG59" s="75"/>
      <c r="AH59" s="75"/>
      <c r="AI59" s="117"/>
      <c r="AJ59" s="117"/>
      <c r="AK59" s="117"/>
      <c r="AL59" s="117"/>
      <c r="AM59" s="117"/>
      <c r="AN59" s="117"/>
      <c r="AO59" s="120"/>
      <c r="AP59" s="120"/>
      <c r="AQ59" s="120"/>
      <c r="AR59" s="120"/>
      <c r="AS59" s="120"/>
      <c r="AT59" s="120"/>
      <c r="AU59" s="132"/>
      <c r="AV59" s="132"/>
      <c r="AW59" s="25"/>
      <c r="AX59" s="25"/>
      <c r="AY59" s="25"/>
      <c r="AZ59" s="25"/>
      <c r="BA59" s="25"/>
      <c r="BB59" s="18"/>
      <c r="BC59" s="17"/>
      <c r="BD59" s="13"/>
      <c r="BE59" s="13"/>
      <c r="BF59" s="13"/>
      <c r="BG59" s="75"/>
      <c r="BH59" s="75"/>
      <c r="BI59" s="75"/>
      <c r="BJ59" s="75"/>
      <c r="BK59" s="75"/>
      <c r="BL59" s="75"/>
      <c r="BM59" s="117"/>
      <c r="BN59" s="117"/>
      <c r="BO59" s="117"/>
      <c r="BP59" s="117"/>
      <c r="BQ59" s="117"/>
      <c r="BR59" s="117"/>
      <c r="BS59" s="120"/>
      <c r="BT59" s="120"/>
      <c r="BU59" s="120"/>
      <c r="BV59" s="120"/>
      <c r="BW59" s="120"/>
      <c r="BX59" s="120"/>
      <c r="BY59" s="132"/>
      <c r="BZ59" s="132"/>
      <c r="CA59" s="13"/>
      <c r="CB59" s="13"/>
      <c r="CC59" s="13"/>
      <c r="CD59" s="13"/>
      <c r="CE59" s="25"/>
      <c r="CF59" s="18"/>
    </row>
    <row r="60" spans="1:84" s="16" customFormat="1" x14ac:dyDescent="0.25">
      <c r="A60" s="17"/>
      <c r="B60" s="25"/>
      <c r="C60" s="25"/>
      <c r="D60" s="25"/>
      <c r="E60" s="18"/>
      <c r="F60" s="25"/>
      <c r="G60" s="25"/>
      <c r="H60" s="18"/>
      <c r="I60" s="17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18"/>
      <c r="Y60" s="17"/>
      <c r="Z60" s="25"/>
      <c r="AA60" s="25"/>
      <c r="AB60" s="25"/>
      <c r="AC60" s="75"/>
      <c r="AD60" s="75"/>
      <c r="AE60" s="75"/>
      <c r="AF60" s="75"/>
      <c r="AG60" s="75"/>
      <c r="AH60" s="75"/>
      <c r="AI60" s="117"/>
      <c r="AJ60" s="117"/>
      <c r="AK60" s="117"/>
      <c r="AL60" s="117"/>
      <c r="AM60" s="117"/>
      <c r="AN60" s="117"/>
      <c r="AO60" s="120"/>
      <c r="AP60" s="120"/>
      <c r="AQ60" s="120"/>
      <c r="AR60" s="120"/>
      <c r="AS60" s="120"/>
      <c r="AT60" s="120"/>
      <c r="AU60" s="132"/>
      <c r="AV60" s="132"/>
      <c r="AW60" s="25"/>
      <c r="AX60" s="25"/>
      <c r="AY60" s="25"/>
      <c r="AZ60" s="25"/>
      <c r="BA60" s="25"/>
      <c r="BB60" s="18"/>
      <c r="BC60" s="17"/>
      <c r="BD60" s="13"/>
      <c r="BE60" s="13"/>
      <c r="BF60" s="13"/>
      <c r="BG60" s="75"/>
      <c r="BH60" s="75"/>
      <c r="BI60" s="75"/>
      <c r="BJ60" s="75"/>
      <c r="BK60" s="75"/>
      <c r="BL60" s="75"/>
      <c r="BM60" s="117"/>
      <c r="BN60" s="117"/>
      <c r="BO60" s="117"/>
      <c r="BP60" s="117"/>
      <c r="BQ60" s="117"/>
      <c r="BR60" s="117"/>
      <c r="BS60" s="120"/>
      <c r="BT60" s="120"/>
      <c r="BU60" s="120"/>
      <c r="BV60" s="120"/>
      <c r="BW60" s="120"/>
      <c r="BX60" s="120"/>
      <c r="BY60" s="132"/>
      <c r="BZ60" s="132"/>
      <c r="CA60" s="13"/>
      <c r="CB60" s="13"/>
      <c r="CC60" s="13"/>
      <c r="CD60" s="13"/>
      <c r="CE60" s="25"/>
      <c r="CF60" s="18"/>
    </row>
    <row r="61" spans="1:84" s="16" customFormat="1" x14ac:dyDescent="0.25">
      <c r="A61" s="17"/>
      <c r="B61" s="25"/>
      <c r="C61" s="25"/>
      <c r="D61" s="25"/>
      <c r="E61" s="18"/>
      <c r="F61" s="25"/>
      <c r="G61" s="25"/>
      <c r="H61" s="18"/>
      <c r="I61" s="17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18"/>
      <c r="Y61" s="17"/>
      <c r="Z61" s="25"/>
      <c r="AA61" s="25"/>
      <c r="AB61" s="25"/>
      <c r="AC61" s="75"/>
      <c r="AD61" s="75"/>
      <c r="AE61" s="75"/>
      <c r="AF61" s="75"/>
      <c r="AG61" s="75"/>
      <c r="AH61" s="75"/>
      <c r="AI61" s="117"/>
      <c r="AJ61" s="117"/>
      <c r="AK61" s="117"/>
      <c r="AL61" s="117"/>
      <c r="AM61" s="117"/>
      <c r="AN61" s="117"/>
      <c r="AO61" s="120"/>
      <c r="AP61" s="120"/>
      <c r="AQ61" s="120"/>
      <c r="AR61" s="120"/>
      <c r="AS61" s="120"/>
      <c r="AT61" s="120"/>
      <c r="AU61" s="132"/>
      <c r="AV61" s="132"/>
      <c r="AW61" s="25"/>
      <c r="AX61" s="25"/>
      <c r="AY61" s="25"/>
      <c r="AZ61" s="25"/>
      <c r="BA61" s="25"/>
      <c r="BB61" s="18"/>
      <c r="BC61" s="17"/>
      <c r="BD61" s="13"/>
      <c r="BE61" s="13"/>
      <c r="BF61" s="13"/>
      <c r="BG61" s="75"/>
      <c r="BH61" s="75"/>
      <c r="BI61" s="75"/>
      <c r="BJ61" s="75"/>
      <c r="BK61" s="75"/>
      <c r="BL61" s="75"/>
      <c r="BM61" s="117"/>
      <c r="BN61" s="117"/>
      <c r="BO61" s="117"/>
      <c r="BP61" s="117"/>
      <c r="BQ61" s="117"/>
      <c r="BR61" s="117"/>
      <c r="BS61" s="120"/>
      <c r="BT61" s="120"/>
      <c r="BU61" s="120"/>
      <c r="BV61" s="120"/>
      <c r="BW61" s="120"/>
      <c r="BX61" s="120"/>
      <c r="BY61" s="132"/>
      <c r="BZ61" s="132"/>
      <c r="CA61" s="13"/>
      <c r="CB61" s="13"/>
      <c r="CC61" s="13"/>
      <c r="CD61" s="13"/>
      <c r="CE61" s="25"/>
      <c r="CF61" s="18"/>
    </row>
    <row r="62" spans="1:84" s="16" customFormat="1" x14ac:dyDescent="0.25">
      <c r="A62" s="43"/>
      <c r="B62" s="44"/>
      <c r="C62" s="44"/>
      <c r="D62" s="44"/>
      <c r="E62" s="45">
        <f>SUM(E54:E61)</f>
        <v>1</v>
      </c>
      <c r="F62" s="44"/>
      <c r="G62" s="44"/>
      <c r="H62" s="44">
        <f>SUM(H54:H61)</f>
        <v>1</v>
      </c>
      <c r="I62" s="43"/>
      <c r="J62" s="44"/>
      <c r="K62" s="44"/>
      <c r="L62" s="44"/>
      <c r="M62" s="44"/>
      <c r="N62" s="44"/>
      <c r="O62" s="44">
        <f>IF(SUM(O54:O61)&gt;=1,1,0)</f>
        <v>1</v>
      </c>
      <c r="P62" s="44"/>
      <c r="Q62" s="44"/>
      <c r="R62" s="44">
        <f>IF(SUM(R54:R61)&gt;=1,1,0)</f>
        <v>1</v>
      </c>
      <c r="S62" s="44"/>
      <c r="T62" s="44"/>
      <c r="U62" s="44">
        <f>IF(SUM(U54:U61)&gt;=1,1,0)</f>
        <v>1</v>
      </c>
      <c r="V62" s="44">
        <f>IF(SUM(V54:V61)&gt;=1,1,0)</f>
        <v>1</v>
      </c>
      <c r="W62" s="44"/>
      <c r="X62" s="45"/>
      <c r="Y62" s="43"/>
      <c r="Z62" s="44"/>
      <c r="AA62" s="44"/>
      <c r="AB62" s="44">
        <f>IF(SUM(AB55:AB61)&gt;=1,1,0)</f>
        <v>1</v>
      </c>
      <c r="AC62" s="114"/>
      <c r="AD62" s="114"/>
      <c r="AE62" s="114">
        <f>IF(SUM(AE55:AE61)&gt;=1,1,0)</f>
        <v>1</v>
      </c>
      <c r="AF62" s="114"/>
      <c r="AG62" s="114"/>
      <c r="AH62" s="114">
        <f>IF(SUM(AH55:AH61)&gt;=1,1,0)</f>
        <v>0</v>
      </c>
      <c r="AI62" s="118"/>
      <c r="AJ62" s="118"/>
      <c r="AK62" s="118">
        <f>IF(SUM(AK55:AK61)&gt;=1,1,0)</f>
        <v>1</v>
      </c>
      <c r="AL62" s="118"/>
      <c r="AM62" s="118"/>
      <c r="AN62" s="118">
        <f>IF(SUM(AN55:AN61)&gt;=1,1,0)</f>
        <v>0</v>
      </c>
      <c r="AO62" s="121"/>
      <c r="AP62" s="121"/>
      <c r="AQ62" s="121">
        <f>IF(SUM(AQ55:AQ61)&gt;=1,1,0)</f>
        <v>1</v>
      </c>
      <c r="AR62" s="121"/>
      <c r="AS62" s="121"/>
      <c r="AT62" s="121">
        <f>IF(SUM(AT55:AT61)&gt;=1,1,0)</f>
        <v>0</v>
      </c>
      <c r="AU62" s="133">
        <f>IF(SUM(AU55:AU61)&gt;=1,1,0)</f>
        <v>0</v>
      </c>
      <c r="AV62" s="133">
        <f>IF(SUM(AV55:AV61)&gt;=1,1,0)</f>
        <v>0</v>
      </c>
      <c r="AW62" s="44"/>
      <c r="AX62" s="44"/>
      <c r="AY62" s="44">
        <f>IF(SUM(AY54:AY61)&gt;=1,1,0)</f>
        <v>1</v>
      </c>
      <c r="AZ62" s="44">
        <f>IF(SUM(AZ54:AZ61)&gt;=1,1,0)</f>
        <v>0</v>
      </c>
      <c r="BA62" s="44"/>
      <c r="BB62" s="45"/>
      <c r="BC62" s="43"/>
      <c r="BD62" s="61"/>
      <c r="BE62" s="61"/>
      <c r="BF62" s="61">
        <f>IF(SUM(BF54:BF61)&gt;=1,1,0)</f>
        <v>1</v>
      </c>
      <c r="BG62" s="114"/>
      <c r="BH62" s="114"/>
      <c r="BI62" s="114">
        <f>IF(SUM(BI55:BI61)&gt;=1,1,0)</f>
        <v>1</v>
      </c>
      <c r="BJ62" s="114"/>
      <c r="BK62" s="114"/>
      <c r="BL62" s="114">
        <f>IF(SUM(BL55:BL61)&gt;=1,1,0)</f>
        <v>1</v>
      </c>
      <c r="BM62" s="118"/>
      <c r="BN62" s="118"/>
      <c r="BO62" s="118">
        <f>IF(SUM(BO55:BO61)&gt;=1,1,0)</f>
        <v>1</v>
      </c>
      <c r="BP62" s="118"/>
      <c r="BQ62" s="118"/>
      <c r="BR62" s="118">
        <f>IF(SUM(BR55:BR61)&gt;=1,1,0)</f>
        <v>0</v>
      </c>
      <c r="BS62" s="121"/>
      <c r="BT62" s="121"/>
      <c r="BU62" s="121">
        <f>IF(SUM(BU55:BU61)&gt;=1,1,0)</f>
        <v>1</v>
      </c>
      <c r="BV62" s="121"/>
      <c r="BW62" s="121"/>
      <c r="BX62" s="121">
        <f>IF(SUM(BX55:BX61)&gt;=1,1,0)</f>
        <v>0</v>
      </c>
      <c r="BY62" s="133">
        <f>IF(SUM(BY55:BY61)&gt;=1,1,0)</f>
        <v>0</v>
      </c>
      <c r="BZ62" s="133">
        <f>IF(SUM(BZ55:BZ61)&gt;=1,1,0)</f>
        <v>0</v>
      </c>
      <c r="CA62" s="61"/>
      <c r="CB62" s="61"/>
      <c r="CC62" s="61">
        <f>IF(SUM(CC54:CC61)&gt;=1,1,0)</f>
        <v>1</v>
      </c>
      <c r="CD62" s="61">
        <f>IF(SUM(CD54:CD61)&gt;=1,1,0)</f>
        <v>0</v>
      </c>
      <c r="CE62" s="44"/>
      <c r="CF62" s="45"/>
    </row>
    <row r="63" spans="1:84" s="16" customFormat="1" x14ac:dyDescent="0.25"/>
    <row r="64" spans="1:84" s="16" customFormat="1" x14ac:dyDescent="0.25"/>
    <row r="65" spans="1:84" s="16" customFormat="1" x14ac:dyDescent="0.25">
      <c r="A65" s="54" t="s">
        <v>81</v>
      </c>
      <c r="I65" s="54" t="s">
        <v>81</v>
      </c>
      <c r="J65" s="54"/>
      <c r="K65" s="54"/>
      <c r="L65" s="54"/>
      <c r="Y65" s="54" t="s">
        <v>81</v>
      </c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BC65" s="54" t="s">
        <v>81</v>
      </c>
    </row>
    <row r="66" spans="1:84" s="16" customFormat="1" x14ac:dyDescent="0.25">
      <c r="A66" s="58" t="s">
        <v>254</v>
      </c>
      <c r="B66" s="59"/>
      <c r="C66" s="59"/>
      <c r="D66" s="59"/>
      <c r="E66" s="44"/>
      <c r="F66" s="44"/>
      <c r="G66" s="44"/>
      <c r="H66" s="45"/>
      <c r="I66" s="50" t="s">
        <v>248</v>
      </c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2"/>
      <c r="Y66" s="43" t="s">
        <v>235</v>
      </c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5"/>
      <c r="BC66" s="21" t="s">
        <v>242</v>
      </c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3"/>
    </row>
    <row r="67" spans="1:84" s="16" customFormat="1" x14ac:dyDescent="0.25">
      <c r="A67" s="21" t="s">
        <v>251</v>
      </c>
      <c r="B67" s="22" t="s">
        <v>252</v>
      </c>
      <c r="C67" s="22" t="s">
        <v>162</v>
      </c>
      <c r="D67" s="22" t="s">
        <v>3</v>
      </c>
      <c r="E67" s="23" t="s">
        <v>261</v>
      </c>
      <c r="F67" s="25" t="s">
        <v>255</v>
      </c>
      <c r="G67" s="25" t="s">
        <v>256</v>
      </c>
      <c r="H67" s="18" t="s">
        <v>262</v>
      </c>
      <c r="I67" s="55" t="s">
        <v>231</v>
      </c>
      <c r="J67" s="56" t="s">
        <v>236</v>
      </c>
      <c r="K67" s="56" t="s">
        <v>237</v>
      </c>
      <c r="L67" s="56" t="s">
        <v>238</v>
      </c>
      <c r="M67" s="56" t="s">
        <v>232</v>
      </c>
      <c r="N67" s="56" t="s">
        <v>233</v>
      </c>
      <c r="O67" s="56" t="s">
        <v>234</v>
      </c>
      <c r="P67" s="56" t="s">
        <v>486</v>
      </c>
      <c r="Q67" s="56" t="s">
        <v>487</v>
      </c>
      <c r="R67" s="56" t="s">
        <v>488</v>
      </c>
      <c r="S67" s="56" t="s">
        <v>239</v>
      </c>
      <c r="T67" s="56" t="s">
        <v>240</v>
      </c>
      <c r="U67" s="56" t="s">
        <v>241</v>
      </c>
      <c r="V67" s="56" t="s">
        <v>202</v>
      </c>
      <c r="W67" s="56" t="s">
        <v>246</v>
      </c>
      <c r="X67" s="57" t="s">
        <v>247</v>
      </c>
      <c r="AC67" s="126" t="s">
        <v>105</v>
      </c>
      <c r="AD67" s="75"/>
      <c r="AE67" s="75"/>
      <c r="AF67" s="75"/>
      <c r="AG67" s="75"/>
      <c r="AH67" s="75"/>
      <c r="AI67" s="127" t="s">
        <v>7</v>
      </c>
      <c r="AJ67" s="104"/>
      <c r="AK67" s="104"/>
      <c r="AL67" s="104"/>
      <c r="AM67" s="104"/>
      <c r="AN67" s="104"/>
      <c r="AO67" s="128" t="s">
        <v>45</v>
      </c>
      <c r="AP67" s="129"/>
      <c r="AQ67" s="119"/>
      <c r="AR67" s="119"/>
      <c r="AS67" s="119"/>
      <c r="AT67" s="119"/>
      <c r="AU67" s="115" t="s">
        <v>514</v>
      </c>
      <c r="AV67" s="115"/>
      <c r="AW67" s="34"/>
      <c r="AX67" s="34"/>
      <c r="AY67" s="34"/>
      <c r="AZ67" s="34"/>
      <c r="BA67" s="34"/>
      <c r="BB67" s="34"/>
      <c r="BC67" s="55"/>
      <c r="BD67" s="56"/>
      <c r="BE67" s="56"/>
      <c r="BF67" s="56"/>
      <c r="BG67" s="126" t="s">
        <v>105</v>
      </c>
      <c r="BH67" s="75"/>
      <c r="BI67" s="75"/>
      <c r="BJ67" s="75"/>
      <c r="BK67" s="75"/>
      <c r="BL67" s="75"/>
      <c r="BM67" s="127" t="s">
        <v>7</v>
      </c>
      <c r="BN67" s="104"/>
      <c r="BO67" s="104"/>
      <c r="BP67" s="104"/>
      <c r="BQ67" s="104"/>
      <c r="BR67" s="104"/>
      <c r="BS67" s="128" t="s">
        <v>45</v>
      </c>
      <c r="BT67" s="129"/>
      <c r="BU67" s="119"/>
      <c r="BV67" s="119"/>
      <c r="BW67" s="119"/>
      <c r="BX67" s="119"/>
      <c r="BY67" s="115" t="s">
        <v>514</v>
      </c>
      <c r="BZ67" s="115"/>
      <c r="CA67" s="56"/>
      <c r="CB67" s="56"/>
      <c r="CC67" s="56"/>
      <c r="CD67" s="56"/>
      <c r="CE67" s="56"/>
      <c r="CF67" s="57"/>
    </row>
    <row r="68" spans="1:84" s="16" customFormat="1" x14ac:dyDescent="0.25">
      <c r="A68" s="35">
        <v>13</v>
      </c>
      <c r="B68" s="34">
        <v>35</v>
      </c>
      <c r="C68" s="25" t="s">
        <v>87</v>
      </c>
      <c r="D68" s="25" t="s">
        <v>87</v>
      </c>
      <c r="E68" s="18">
        <f>IF(AND($B$16&gt;=Criteria!A68,$B$16&lt;=Criteria!B68),1,0)</f>
        <v>1</v>
      </c>
      <c r="F68" s="25">
        <v>5</v>
      </c>
      <c r="G68" s="25">
        <v>10</v>
      </c>
      <c r="H68" s="18">
        <f>IF(AND($B$15&gt;=F68,$B$15&lt;=G68),1,0)</f>
        <v>0</v>
      </c>
      <c r="I68" s="17" t="s">
        <v>176</v>
      </c>
      <c r="J68" s="25">
        <v>0</v>
      </c>
      <c r="K68" s="34">
        <v>66.5</v>
      </c>
      <c r="L68" s="25">
        <f>IF(AND($B$18&gt;=J68,$B$18&lt;=K68),1,0)</f>
        <v>0</v>
      </c>
      <c r="M68" s="34">
        <v>16</v>
      </c>
      <c r="N68" s="34">
        <v>39</v>
      </c>
      <c r="O68" s="25">
        <f>IF(AND($B$14&gt;=M68,$B$14&lt;=N68),1,0)</f>
        <v>0</v>
      </c>
      <c r="P68" s="25">
        <v>43</v>
      </c>
      <c r="Q68" s="34">
        <v>51</v>
      </c>
      <c r="R68" s="25">
        <f>IF(AND(Q68="NA",K68&lt;&gt;"NA"),L68,IF(AND($B$13&gt;=P68,$B$13&lt;=Q68),1,0))</f>
        <v>0</v>
      </c>
      <c r="S68" s="25">
        <v>0</v>
      </c>
      <c r="T68" s="25">
        <v>4</v>
      </c>
      <c r="U68" s="25">
        <f>IF(AND($B$17&gt;=S68,$B$17&lt;=T68),1,0)</f>
        <v>1</v>
      </c>
      <c r="V68" s="25">
        <f>IF(AND(IF(L68="NA",1,L68)=1,IF(O68="NA",1,O68)=1,IF(R68="NA",1,R68)=1,IF(U68="NA",1,U68)=1),1,0)</f>
        <v>0</v>
      </c>
      <c r="W68" s="25">
        <v>1</v>
      </c>
      <c r="X68" s="18" t="str">
        <f>IF(V68=1,W68,"NA")</f>
        <v>NA</v>
      </c>
      <c r="Y68" s="35" t="s">
        <v>231</v>
      </c>
      <c r="Z68" s="34" t="s">
        <v>236</v>
      </c>
      <c r="AA68" s="34" t="s">
        <v>237</v>
      </c>
      <c r="AB68" s="34" t="s">
        <v>238</v>
      </c>
      <c r="AC68" s="75" t="s">
        <v>232</v>
      </c>
      <c r="AD68" s="75" t="s">
        <v>233</v>
      </c>
      <c r="AE68" s="75" t="s">
        <v>234</v>
      </c>
      <c r="AF68" s="75" t="s">
        <v>486</v>
      </c>
      <c r="AG68" s="75" t="s">
        <v>487</v>
      </c>
      <c r="AH68" s="75" t="s">
        <v>488</v>
      </c>
      <c r="AI68" s="117" t="s">
        <v>232</v>
      </c>
      <c r="AJ68" s="117" t="s">
        <v>233</v>
      </c>
      <c r="AK68" s="117" t="s">
        <v>234</v>
      </c>
      <c r="AL68" s="117" t="s">
        <v>486</v>
      </c>
      <c r="AM68" s="117" t="s">
        <v>487</v>
      </c>
      <c r="AN68" s="117" t="s">
        <v>488</v>
      </c>
      <c r="AO68" s="120" t="s">
        <v>232</v>
      </c>
      <c r="AP68" s="120" t="s">
        <v>233</v>
      </c>
      <c r="AQ68" s="120" t="s">
        <v>234</v>
      </c>
      <c r="AR68" s="120" t="s">
        <v>486</v>
      </c>
      <c r="AS68" s="120" t="s">
        <v>487</v>
      </c>
      <c r="AT68" s="120" t="s">
        <v>488</v>
      </c>
      <c r="AU68" s="116" t="s">
        <v>234</v>
      </c>
      <c r="AV68" s="116" t="s">
        <v>488</v>
      </c>
      <c r="AW68" s="25" t="s">
        <v>239</v>
      </c>
      <c r="AX68" s="25" t="s">
        <v>240</v>
      </c>
      <c r="AY68" s="25" t="s">
        <v>241</v>
      </c>
      <c r="AZ68" s="25" t="s">
        <v>202</v>
      </c>
      <c r="BA68" s="25" t="s">
        <v>246</v>
      </c>
      <c r="BB68" s="25" t="s">
        <v>247</v>
      </c>
      <c r="BC68" s="17" t="s">
        <v>231</v>
      </c>
      <c r="BD68" s="13" t="s">
        <v>243</v>
      </c>
      <c r="BE68" s="13" t="s">
        <v>244</v>
      </c>
      <c r="BF68" s="13" t="s">
        <v>245</v>
      </c>
      <c r="BG68" s="75" t="s">
        <v>232</v>
      </c>
      <c r="BH68" s="75" t="s">
        <v>233</v>
      </c>
      <c r="BI68" s="75" t="s">
        <v>234</v>
      </c>
      <c r="BJ68" s="75" t="s">
        <v>486</v>
      </c>
      <c r="BK68" s="75" t="s">
        <v>487</v>
      </c>
      <c r="BL68" s="75" t="s">
        <v>488</v>
      </c>
      <c r="BM68" s="117" t="s">
        <v>232</v>
      </c>
      <c r="BN68" s="117" t="s">
        <v>233</v>
      </c>
      <c r="BO68" s="117" t="s">
        <v>234</v>
      </c>
      <c r="BP68" s="117" t="s">
        <v>486</v>
      </c>
      <c r="BQ68" s="117" t="s">
        <v>487</v>
      </c>
      <c r="BR68" s="117" t="s">
        <v>488</v>
      </c>
      <c r="BS68" s="120" t="s">
        <v>232</v>
      </c>
      <c r="BT68" s="120" t="s">
        <v>233</v>
      </c>
      <c r="BU68" s="120" t="s">
        <v>234</v>
      </c>
      <c r="BV68" s="120" t="s">
        <v>486</v>
      </c>
      <c r="BW68" s="120" t="s">
        <v>487</v>
      </c>
      <c r="BX68" s="120" t="s">
        <v>488</v>
      </c>
      <c r="BY68" s="116" t="s">
        <v>234</v>
      </c>
      <c r="BZ68" s="116" t="s">
        <v>488</v>
      </c>
      <c r="CA68" s="13" t="s">
        <v>239</v>
      </c>
      <c r="CB68" s="13" t="s">
        <v>240</v>
      </c>
      <c r="CC68" s="13" t="s">
        <v>241</v>
      </c>
      <c r="CD68" s="13" t="s">
        <v>202</v>
      </c>
      <c r="CE68" s="25" t="s">
        <v>246</v>
      </c>
      <c r="CF68" s="60" t="s">
        <v>247</v>
      </c>
    </row>
    <row r="69" spans="1:84" s="16" customFormat="1" x14ac:dyDescent="0.25">
      <c r="A69" s="17"/>
      <c r="B69" s="25"/>
      <c r="C69" s="25"/>
      <c r="D69" s="25"/>
      <c r="E69" s="18"/>
      <c r="F69" s="25"/>
      <c r="G69" s="25"/>
      <c r="H69" s="18"/>
      <c r="I69" s="17" t="s">
        <v>177</v>
      </c>
      <c r="J69" s="25">
        <v>0</v>
      </c>
      <c r="K69" s="25">
        <v>66.5</v>
      </c>
      <c r="L69" s="25">
        <f>IF(AND($B$18&gt;=J69,$B$18&lt;=K69),1,0)</f>
        <v>0</v>
      </c>
      <c r="M69" s="34">
        <v>16</v>
      </c>
      <c r="N69" s="34">
        <v>54</v>
      </c>
      <c r="O69" s="25">
        <f>IF(AND($B$14&gt;=M69,$B$14&lt;=N69),1,0)</f>
        <v>0</v>
      </c>
      <c r="P69" s="25">
        <v>52</v>
      </c>
      <c r="Q69" s="34">
        <v>72</v>
      </c>
      <c r="R69" s="25">
        <f>IF(AND(Q69="NA",K69&lt;&gt;"NA"),L69,IF(AND($B$13&gt;=P69,$B$13&lt;=Q69),1,0))</f>
        <v>0</v>
      </c>
      <c r="S69" s="25">
        <v>0</v>
      </c>
      <c r="T69" s="25">
        <v>4</v>
      </c>
      <c r="U69" s="25">
        <f>IF(AND($B$17&gt;=S69,$B$17&lt;=T69),1,0)</f>
        <v>1</v>
      </c>
      <c r="V69" s="25">
        <f>IF(AND(IF(L69="NA",1,L69)=1,IF(O69="NA",1,O69)=1,IF(R69="NA",1,R69)=1,IF(U69="NA",1,U69)=1),1,0)</f>
        <v>0</v>
      </c>
      <c r="W69" s="25">
        <v>2</v>
      </c>
      <c r="X69" s="18" t="str">
        <f>IF(V69=1,W69,"NA")</f>
        <v>NA</v>
      </c>
      <c r="Y69" s="17" t="s">
        <v>280</v>
      </c>
      <c r="Z69" s="25">
        <v>0</v>
      </c>
      <c r="AA69" s="25">
        <v>30</v>
      </c>
      <c r="AB69" s="13">
        <f>IF(AA69="NA",1,IF(AND($B$18&gt;=Z69,$B$18&lt;=AA69),1,0))</f>
        <v>0</v>
      </c>
      <c r="AC69" s="122">
        <v>0</v>
      </c>
      <c r="AD69" s="122">
        <f>IF($B$13-6.5&gt;AG69-6.5,AG69-6.5,$B$13-6.5)</f>
        <v>29.5</v>
      </c>
      <c r="AE69" s="122">
        <f>IF(AD69="NA",1,IF(AND($B$14&gt;=AC69,$B$14&lt;=AD69),1,0))</f>
        <v>0</v>
      </c>
      <c r="AF69" s="75">
        <v>0</v>
      </c>
      <c r="AG69" s="75">
        <v>36</v>
      </c>
      <c r="AH69" s="75">
        <f>IF(AND($B$13&gt;=AF69,$B$13&lt;=AG69),1,0)</f>
        <v>0</v>
      </c>
      <c r="AI69" s="117">
        <v>0</v>
      </c>
      <c r="AJ69" s="117">
        <f>IF($B$13-9.7&gt;AM69-9.7,AM69-9.7,$B$13-9.7)</f>
        <v>23.3</v>
      </c>
      <c r="AK69" s="117">
        <f>IF(AJ69="NA",1,IF(AND($B$14&gt;=AI69,$B$14&lt;=AJ69),1,0))</f>
        <v>0</v>
      </c>
      <c r="AL69" s="117">
        <v>0</v>
      </c>
      <c r="AM69" s="117">
        <v>33</v>
      </c>
      <c r="AN69" s="130">
        <f>IF(AM69="NA",1,IF(AND($B$13&gt;=AL69,$B$13&lt;=AM69),1,0))</f>
        <v>0</v>
      </c>
      <c r="AO69" s="120">
        <v>0</v>
      </c>
      <c r="AP69" s="120">
        <f>IF($B$13-11&gt;AS69-11,AS69-11,$B$13-11)</f>
        <v>21</v>
      </c>
      <c r="AQ69" s="120">
        <f>IF(AP69="NA",1,IF(AND($B$14&gt;=AO69,$B$14&lt;=AP69),1,0))</f>
        <v>0</v>
      </c>
      <c r="AR69" s="120">
        <v>0</v>
      </c>
      <c r="AS69" s="120">
        <v>32</v>
      </c>
      <c r="AT69" s="120">
        <f>IF(AS69="NA",1,IF(AND($B$13&gt;=AR69,$B$13&lt;=AS69),1,0))</f>
        <v>0</v>
      </c>
      <c r="AU69" s="132" t="str">
        <f>IF($C$22="M3",AE69,IF($C$22="M4",AK69,IF($C$22="M5",AQ69,"???")))</f>
        <v>???</v>
      </c>
      <c r="AV69" s="132" t="str">
        <f>IF($C$22="M3",AH69,IF($C$22="M4",AN69,IF($C$22="M5",AT69,"???")))</f>
        <v>???</v>
      </c>
      <c r="AW69" s="25">
        <v>0</v>
      </c>
      <c r="AX69" s="25">
        <v>4</v>
      </c>
      <c r="AY69" s="25">
        <f>IF(AND($B$17&gt;=AW69,$B$17&lt;=AX69),1,0)</f>
        <v>1</v>
      </c>
      <c r="AZ69" s="25">
        <f>IF(AND(IF(AB69="NA",1,AB69)=1,IF(AU69="NA",1,AU69)=1,IF(AV69="NA",1,AV69)=1,IF(AY69="NA",1,AY69)=1),1,0)</f>
        <v>0</v>
      </c>
      <c r="BA69" s="25">
        <v>1</v>
      </c>
      <c r="BB69" s="25" t="str">
        <f>IF(AZ69=1,BA69,"NA")</f>
        <v>NA</v>
      </c>
      <c r="BC69" s="17" t="s">
        <v>280</v>
      </c>
      <c r="BD69" s="13">
        <v>0</v>
      </c>
      <c r="BE69" s="13">
        <v>43</v>
      </c>
      <c r="BF69" s="13">
        <f>IF(BE69="NA",1,IF(AND($B$18&gt;=BD69,$B$18&lt;=BE69),1,0))</f>
        <v>0</v>
      </c>
      <c r="BG69" s="122">
        <v>0</v>
      </c>
      <c r="BH69" s="122">
        <f>IF($B$13-6.5&gt;BK69-6.5,BK69-6.5,$B$13-6.5)</f>
        <v>29.5</v>
      </c>
      <c r="BI69" s="122">
        <f>IF(BH69="NA",1,IF(AND($B$14&gt;=BG69,$B$14&lt;=BH69),1,0))</f>
        <v>0</v>
      </c>
      <c r="BJ69" s="75">
        <v>0</v>
      </c>
      <c r="BK69" s="75">
        <v>36</v>
      </c>
      <c r="BL69" s="75">
        <f>IF(AND($B$13&gt;=BJ69,$B$13&lt;=BK69),1,0)</f>
        <v>0</v>
      </c>
      <c r="BM69" s="117">
        <v>0</v>
      </c>
      <c r="BN69" s="117">
        <f>IF($B$13-9.7&gt;BQ69-9.7,BQ69-9.7,$B$13-9.7)</f>
        <v>23.3</v>
      </c>
      <c r="BO69" s="117">
        <f>IF(BN69="NA",1,IF(AND($B$14&gt;=BM69,$B$14&lt;=BN69),1,0))</f>
        <v>0</v>
      </c>
      <c r="BP69" s="117">
        <v>0</v>
      </c>
      <c r="BQ69" s="117">
        <v>33</v>
      </c>
      <c r="BR69" s="130">
        <f>IF(BQ69="NA",1,IF(AND($B$13&gt;=BP69,$B$13&lt;=BQ69),1,0))</f>
        <v>0</v>
      </c>
      <c r="BS69" s="120">
        <v>0</v>
      </c>
      <c r="BT69" s="120">
        <f>IF($B$13-11&gt;BW69-11,BW69-11,$B$13-11)</f>
        <v>21</v>
      </c>
      <c r="BU69" s="120">
        <f>IF(BT69="NA",1,IF(AND($B$14&gt;=BS69,$B$14&lt;=BT69),1,0))</f>
        <v>0</v>
      </c>
      <c r="BV69" s="120">
        <v>0</v>
      </c>
      <c r="BW69" s="120">
        <v>32</v>
      </c>
      <c r="BX69" s="120">
        <f>IF(BW69="NA",1,IF(AND($B$13&gt;=BV69,$B$13&lt;=BW69),1,0))</f>
        <v>0</v>
      </c>
      <c r="BY69" s="132" t="str">
        <f>IF($C$22="M3",BI69,IF($C$22="M4",BO69,IF($C$22="M5",BU69,"???")))</f>
        <v>???</v>
      </c>
      <c r="BZ69" s="132" t="str">
        <f>IF($C$22="M3",BL69,IF($C$22="M4",BR69,IF($C$22="M5",BX69,"???")))</f>
        <v>???</v>
      </c>
      <c r="CA69" s="13">
        <v>0</v>
      </c>
      <c r="CB69" s="13">
        <v>4</v>
      </c>
      <c r="CC69" s="13">
        <f>IF(AND($B$17&gt;=CA69,$B$17&lt;=CB69),1,0)</f>
        <v>1</v>
      </c>
      <c r="CD69" s="25">
        <f>IF(AND(IF(BF69="NA",1,BF69)=1,IF(BY69="NA",1,BY69)=1,IF(BZ69="NA",1,BZ69)=1,IF(CC69="NA",1,CC69)=1),1,0)</f>
        <v>0</v>
      </c>
      <c r="CE69" s="25">
        <v>1</v>
      </c>
      <c r="CF69" s="60" t="str">
        <f>IF(CD69=1,CE69,"NA")</f>
        <v>NA</v>
      </c>
    </row>
    <row r="70" spans="1:84" s="16" customFormat="1" x14ac:dyDescent="0.25">
      <c r="A70" s="17"/>
      <c r="B70" s="25"/>
      <c r="C70" s="25"/>
      <c r="D70" s="25"/>
      <c r="E70" s="18"/>
      <c r="F70" s="25"/>
      <c r="G70" s="25"/>
      <c r="H70" s="18"/>
      <c r="I70" s="17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18"/>
      <c r="Y70" s="17" t="s">
        <v>281</v>
      </c>
      <c r="Z70" s="25">
        <v>0</v>
      </c>
      <c r="AA70" s="25">
        <v>44</v>
      </c>
      <c r="AB70" s="13">
        <f>IF(AA70="NA",1,IF(AND($B$18&gt;=Z70,$B$18&lt;=AA70),1,0))</f>
        <v>0</v>
      </c>
      <c r="AC70" s="122">
        <v>0</v>
      </c>
      <c r="AD70" s="122">
        <f>IF($B$13-6.5&gt;AG70-6.5,AG70-6.5,$B$13-6.5)</f>
        <v>48.5</v>
      </c>
      <c r="AE70" s="122">
        <f>IF(AD70="NA",1,IF(AND($B$14&gt;=AC70,$B$14&lt;=AD70),1,0))</f>
        <v>0</v>
      </c>
      <c r="AF70" s="75">
        <v>0</v>
      </c>
      <c r="AG70" s="75">
        <v>55</v>
      </c>
      <c r="AH70" s="75">
        <f>IF(AND($B$13&gt;=AF70,$B$13&lt;=AG70),1,0)</f>
        <v>0</v>
      </c>
      <c r="AI70" s="117">
        <v>0</v>
      </c>
      <c r="AJ70" s="117">
        <f>IF($B$13-9.7&gt;AM70-9.7,AM70-9.7,$B$13-9.7)</f>
        <v>42.3</v>
      </c>
      <c r="AK70" s="117">
        <f>IF(AJ70="NA",1,IF(AND($B$14&gt;=AI70,$B$14&lt;=AJ70),1,0))</f>
        <v>0</v>
      </c>
      <c r="AL70" s="117">
        <v>0</v>
      </c>
      <c r="AM70" s="117">
        <v>52</v>
      </c>
      <c r="AN70" s="130">
        <f>IF(AM70="NA",1,IF(AND($B$13&gt;=AL70,$B$13&lt;=AM70),1,0))</f>
        <v>0</v>
      </c>
      <c r="AO70" s="120">
        <v>0</v>
      </c>
      <c r="AP70" s="120">
        <f>IF($B$13-11&gt;AS70-11,AS70-11,$B$13-11)</f>
        <v>40</v>
      </c>
      <c r="AQ70" s="120">
        <f>IF(AP70="NA",1,IF(AND($B$14&gt;=AO70,$B$14&lt;=AP70),1,0))</f>
        <v>0</v>
      </c>
      <c r="AR70" s="120">
        <v>0</v>
      </c>
      <c r="AS70" s="120">
        <v>51</v>
      </c>
      <c r="AT70" s="120">
        <f>IF(AS70="NA",1,IF(AND($B$13&gt;=AR70,$B$13&lt;=AS70),1,0))</f>
        <v>0</v>
      </c>
      <c r="AU70" s="132" t="str">
        <f>IF($C$22="M3",AE70,IF($C$22="M4",AK70,IF($C$22="M5",AQ70,"???")))</f>
        <v>???</v>
      </c>
      <c r="AV70" s="132" t="str">
        <f>IF($C$22="M3",AH70,IF($C$22="M4",AN70,IF($C$22="M5",AT70,"???")))</f>
        <v>???</v>
      </c>
      <c r="AW70" s="16">
        <v>0</v>
      </c>
      <c r="AX70" s="16">
        <v>4</v>
      </c>
      <c r="AY70" s="16">
        <f>IF(AND($B$17&gt;=AW70,$B$17&lt;=AX70),1,0)</f>
        <v>1</v>
      </c>
      <c r="AZ70" s="16">
        <f>IF(AND(IF(AB70="NA",1,AB70)=1,IF(AU70="NA",1,AU70)=1,IF(AV70="NA",1,AV70)=1,IF(AY70="NA",1,AY70)=1),1,0)</f>
        <v>0</v>
      </c>
      <c r="BA70" s="16">
        <v>2</v>
      </c>
      <c r="BB70" s="16" t="str">
        <f>IF(AZ70=1,BA70,"NA")</f>
        <v>NA</v>
      </c>
      <c r="BC70" s="17" t="s">
        <v>281</v>
      </c>
      <c r="BD70" s="25">
        <v>0</v>
      </c>
      <c r="BE70" s="25">
        <v>57</v>
      </c>
      <c r="BF70" s="25">
        <f>IF(BE70="NA",1,IF(AND($B$18&gt;=BD70,$B$18&lt;=BE70),1,0))</f>
        <v>0</v>
      </c>
      <c r="BG70" s="122">
        <v>0</v>
      </c>
      <c r="BH70" s="122">
        <f>IF($B$13-6.5&gt;BK70-6.5,BK70-6.5,$B$13-6.5)</f>
        <v>48.5</v>
      </c>
      <c r="BI70" s="122">
        <f>IF(BH70="NA",1,IF(AND($B$14&gt;=BG70,$B$14&lt;=BH70),1,0))</f>
        <v>0</v>
      </c>
      <c r="BJ70" s="75">
        <v>0</v>
      </c>
      <c r="BK70" s="75">
        <v>55</v>
      </c>
      <c r="BL70" s="75">
        <f>IF(AND($B$13&gt;=BJ70,$B$13&lt;=BK70),1,0)</f>
        <v>0</v>
      </c>
      <c r="BM70" s="117">
        <v>0</v>
      </c>
      <c r="BN70" s="117">
        <f>IF($B$13-9.7&gt;BQ70-9.7,BQ70-9.7,$B$13-9.7)</f>
        <v>42.3</v>
      </c>
      <c r="BO70" s="117">
        <f>IF(BN70="NA",1,IF(AND($B$14&gt;=BM70,$B$14&lt;=BN70),1,0))</f>
        <v>0</v>
      </c>
      <c r="BP70" s="117">
        <v>0</v>
      </c>
      <c r="BQ70" s="117">
        <v>52</v>
      </c>
      <c r="BR70" s="130">
        <f>IF(BQ70="NA",1,IF(AND($B$13&gt;=BP70,$B$13&lt;=BQ70),1,0))</f>
        <v>0</v>
      </c>
      <c r="BS70" s="120">
        <v>0</v>
      </c>
      <c r="BT70" s="120">
        <f>IF($B$13-11&gt;BW70-11,BW70-11,$B$13-11)</f>
        <v>40</v>
      </c>
      <c r="BU70" s="120">
        <f>IF(BT70="NA",1,IF(AND($B$14&gt;=BS70,$B$14&lt;=BT70),1,0))</f>
        <v>0</v>
      </c>
      <c r="BV70" s="120">
        <v>0</v>
      </c>
      <c r="BW70" s="120">
        <v>51</v>
      </c>
      <c r="BX70" s="120">
        <f>IF(BW70="NA",1,IF(AND($B$13&gt;=BV70,$B$13&lt;=BW70),1,0))</f>
        <v>0</v>
      </c>
      <c r="BY70" s="132" t="str">
        <f>IF($C$22="M3",BI70,IF($C$22="M4",BO70,IF($C$22="M5",BU70,"???")))</f>
        <v>???</v>
      </c>
      <c r="BZ70" s="132" t="str">
        <f>IF($C$22="M3",BL70,IF($C$22="M4",BR70,IF($C$22="M5",BX70,"???")))</f>
        <v>???</v>
      </c>
      <c r="CA70" s="25">
        <v>0</v>
      </c>
      <c r="CB70" s="25">
        <v>4</v>
      </c>
      <c r="CC70" s="25">
        <f>IF(AND($B$17&gt;=CA70,$B$17&lt;=CB70),1,0)</f>
        <v>1</v>
      </c>
      <c r="CD70" s="25">
        <f>IF(AND(IF(BF70="NA",1,BF70)=1,IF(BY70="NA",1,BY70)=1,IF(BZ70="NA",1,BZ70)=1,IF(CC70="NA",1,CC70)=1),1,0)</f>
        <v>0</v>
      </c>
      <c r="CE70" s="25">
        <v>2</v>
      </c>
      <c r="CF70" s="18" t="str">
        <f>IF(CD70=1,CE70,"NA")</f>
        <v>NA</v>
      </c>
    </row>
    <row r="71" spans="1:84" s="16" customFormat="1" x14ac:dyDescent="0.25">
      <c r="A71" s="17"/>
      <c r="B71" s="25"/>
      <c r="C71" s="25"/>
      <c r="D71" s="25"/>
      <c r="E71" s="18"/>
      <c r="F71" s="25"/>
      <c r="G71" s="25"/>
      <c r="H71" s="18"/>
      <c r="I71" s="17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18"/>
      <c r="AC71" s="75"/>
      <c r="AD71" s="75"/>
      <c r="AE71" s="75"/>
      <c r="AF71" s="75"/>
      <c r="AG71" s="75"/>
      <c r="AH71" s="75"/>
      <c r="AI71" s="117"/>
      <c r="AJ71" s="117"/>
      <c r="AK71" s="117"/>
      <c r="AL71" s="117"/>
      <c r="AM71" s="117"/>
      <c r="AN71" s="117"/>
      <c r="AO71" s="120"/>
      <c r="AP71" s="120"/>
      <c r="AQ71" s="120"/>
      <c r="AR71" s="120"/>
      <c r="AS71" s="120"/>
      <c r="AT71" s="120"/>
      <c r="AU71" s="132"/>
      <c r="AV71" s="132"/>
      <c r="AW71" s="25"/>
      <c r="AX71" s="25"/>
      <c r="AY71" s="25"/>
      <c r="AZ71" s="25"/>
      <c r="BA71" s="25"/>
      <c r="BB71" s="25"/>
      <c r="BC71" s="17"/>
      <c r="BD71" s="13"/>
      <c r="BE71" s="13"/>
      <c r="BF71" s="13"/>
      <c r="BG71" s="75"/>
      <c r="BH71" s="75"/>
      <c r="BI71" s="75"/>
      <c r="BJ71" s="75"/>
      <c r="BK71" s="75"/>
      <c r="BL71" s="75"/>
      <c r="BM71" s="117"/>
      <c r="BN71" s="117"/>
      <c r="BO71" s="117"/>
      <c r="BP71" s="117"/>
      <c r="BQ71" s="117"/>
      <c r="BR71" s="117"/>
      <c r="BS71" s="120"/>
      <c r="BT71" s="120"/>
      <c r="BU71" s="120"/>
      <c r="BV71" s="120"/>
      <c r="BW71" s="120"/>
      <c r="BX71" s="120"/>
      <c r="BY71" s="132"/>
      <c r="BZ71" s="132"/>
      <c r="CA71" s="13"/>
      <c r="CB71" s="13"/>
      <c r="CC71" s="13"/>
      <c r="CD71" s="13"/>
      <c r="CE71" s="34"/>
      <c r="CF71" s="60"/>
    </row>
    <row r="72" spans="1:84" s="16" customFormat="1" x14ac:dyDescent="0.25">
      <c r="A72" s="17"/>
      <c r="B72" s="25"/>
      <c r="C72" s="25"/>
      <c r="D72" s="25"/>
      <c r="E72" s="18"/>
      <c r="F72" s="25"/>
      <c r="G72" s="25"/>
      <c r="H72" s="18"/>
      <c r="I72" s="17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18"/>
      <c r="Y72" s="17"/>
      <c r="Z72" s="25"/>
      <c r="AA72" s="25"/>
      <c r="AB72" s="25"/>
      <c r="AC72" s="75"/>
      <c r="AD72" s="75"/>
      <c r="AE72" s="75"/>
      <c r="AF72" s="75"/>
      <c r="AG72" s="75"/>
      <c r="AH72" s="75"/>
      <c r="AI72" s="117"/>
      <c r="AJ72" s="117"/>
      <c r="AK72" s="117"/>
      <c r="AL72" s="117"/>
      <c r="AM72" s="117"/>
      <c r="AN72" s="117"/>
      <c r="AO72" s="120"/>
      <c r="AP72" s="120"/>
      <c r="AQ72" s="120"/>
      <c r="AR72" s="120"/>
      <c r="AS72" s="120"/>
      <c r="AT72" s="120"/>
      <c r="AU72" s="132"/>
      <c r="AV72" s="132"/>
      <c r="AW72" s="25"/>
      <c r="AX72" s="25"/>
      <c r="AY72" s="25"/>
      <c r="AZ72" s="25"/>
      <c r="BA72" s="25"/>
      <c r="BB72" s="25"/>
      <c r="BC72" s="17"/>
      <c r="BD72" s="13"/>
      <c r="BE72" s="13"/>
      <c r="BF72" s="13"/>
      <c r="BG72" s="75"/>
      <c r="BH72" s="75"/>
      <c r="BI72" s="75"/>
      <c r="BJ72" s="75"/>
      <c r="BK72" s="75"/>
      <c r="BL72" s="75"/>
      <c r="BM72" s="117"/>
      <c r="BN72" s="117"/>
      <c r="BO72" s="117"/>
      <c r="BP72" s="117"/>
      <c r="BQ72" s="117"/>
      <c r="BR72" s="117"/>
      <c r="BS72" s="120"/>
      <c r="BT72" s="120"/>
      <c r="BU72" s="120"/>
      <c r="BV72" s="120"/>
      <c r="BW72" s="120"/>
      <c r="BX72" s="120"/>
      <c r="BY72" s="132"/>
      <c r="BZ72" s="132"/>
      <c r="CA72" s="13"/>
      <c r="CB72" s="13"/>
      <c r="CC72" s="13"/>
      <c r="CD72" s="13"/>
      <c r="CE72" s="25"/>
      <c r="CF72" s="18"/>
    </row>
    <row r="73" spans="1:84" s="16" customFormat="1" x14ac:dyDescent="0.25">
      <c r="A73" s="17"/>
      <c r="B73" s="25"/>
      <c r="C73" s="25"/>
      <c r="D73" s="25"/>
      <c r="E73" s="18"/>
      <c r="F73" s="25"/>
      <c r="G73" s="25"/>
      <c r="H73" s="18"/>
      <c r="I73" s="17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18"/>
      <c r="Y73" s="17"/>
      <c r="Z73" s="25"/>
      <c r="AA73" s="25"/>
      <c r="AB73" s="25"/>
      <c r="AC73" s="75"/>
      <c r="AD73" s="75"/>
      <c r="AE73" s="75"/>
      <c r="AF73" s="75"/>
      <c r="AG73" s="75"/>
      <c r="AH73" s="75"/>
      <c r="AI73" s="117"/>
      <c r="AJ73" s="117"/>
      <c r="AK73" s="117"/>
      <c r="AL73" s="117"/>
      <c r="AM73" s="117"/>
      <c r="AN73" s="117"/>
      <c r="AO73" s="120"/>
      <c r="AP73" s="120"/>
      <c r="AQ73" s="120"/>
      <c r="AR73" s="120"/>
      <c r="AS73" s="120"/>
      <c r="AT73" s="120"/>
      <c r="AU73" s="132"/>
      <c r="AV73" s="132"/>
      <c r="AW73" s="25"/>
      <c r="AX73" s="25"/>
      <c r="AY73" s="25"/>
      <c r="AZ73" s="25"/>
      <c r="BA73" s="25"/>
      <c r="BB73" s="25"/>
      <c r="BC73" s="17"/>
      <c r="BD73" s="13"/>
      <c r="BE73" s="13"/>
      <c r="BF73" s="13"/>
      <c r="BG73" s="75"/>
      <c r="BH73" s="75"/>
      <c r="BI73" s="75"/>
      <c r="BJ73" s="75"/>
      <c r="BK73" s="75"/>
      <c r="BL73" s="75"/>
      <c r="BM73" s="117"/>
      <c r="BN73" s="117"/>
      <c r="BO73" s="117"/>
      <c r="BP73" s="117"/>
      <c r="BQ73" s="117"/>
      <c r="BR73" s="117"/>
      <c r="BS73" s="120"/>
      <c r="BT73" s="120"/>
      <c r="BU73" s="120"/>
      <c r="BV73" s="120"/>
      <c r="BW73" s="120"/>
      <c r="BX73" s="120"/>
      <c r="BY73" s="132"/>
      <c r="BZ73" s="132"/>
      <c r="CA73" s="13"/>
      <c r="CB73" s="13"/>
      <c r="CC73" s="13"/>
      <c r="CD73" s="13"/>
      <c r="CE73" s="25"/>
      <c r="CF73" s="18"/>
    </row>
    <row r="74" spans="1:84" s="16" customFormat="1" x14ac:dyDescent="0.25">
      <c r="A74" s="17"/>
      <c r="B74" s="25"/>
      <c r="C74" s="25"/>
      <c r="D74" s="25"/>
      <c r="E74" s="18"/>
      <c r="F74" s="25"/>
      <c r="G74" s="25"/>
      <c r="H74" s="18"/>
      <c r="I74" s="17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18"/>
      <c r="Y74" s="17"/>
      <c r="Z74" s="25"/>
      <c r="AA74" s="25"/>
      <c r="AB74" s="25"/>
      <c r="AC74" s="75"/>
      <c r="AD74" s="75"/>
      <c r="AE74" s="75"/>
      <c r="AF74" s="75"/>
      <c r="AG74" s="75"/>
      <c r="AH74" s="75"/>
      <c r="AI74" s="117"/>
      <c r="AJ74" s="117"/>
      <c r="AK74" s="117"/>
      <c r="AL74" s="117"/>
      <c r="AM74" s="117"/>
      <c r="AN74" s="117"/>
      <c r="AO74" s="120"/>
      <c r="AP74" s="120"/>
      <c r="AQ74" s="120"/>
      <c r="AR74" s="120"/>
      <c r="AS74" s="120"/>
      <c r="AT74" s="120"/>
      <c r="AU74" s="132"/>
      <c r="AV74" s="132"/>
      <c r="AW74" s="25"/>
      <c r="AX74" s="25"/>
      <c r="AY74" s="25"/>
      <c r="AZ74" s="25"/>
      <c r="BA74" s="25"/>
      <c r="BB74" s="25"/>
      <c r="BC74" s="17"/>
      <c r="BD74" s="13"/>
      <c r="BE74" s="13"/>
      <c r="BF74" s="13"/>
      <c r="BG74" s="75"/>
      <c r="BH74" s="75"/>
      <c r="BI74" s="75"/>
      <c r="BJ74" s="75"/>
      <c r="BK74" s="75"/>
      <c r="BL74" s="75"/>
      <c r="BM74" s="117"/>
      <c r="BN74" s="117"/>
      <c r="BO74" s="117"/>
      <c r="BP74" s="117"/>
      <c r="BQ74" s="117"/>
      <c r="BR74" s="117"/>
      <c r="BS74" s="120"/>
      <c r="BT74" s="120"/>
      <c r="BU74" s="120"/>
      <c r="BV74" s="120"/>
      <c r="BW74" s="120"/>
      <c r="BX74" s="120"/>
      <c r="BY74" s="132"/>
      <c r="BZ74" s="132"/>
      <c r="CA74" s="13"/>
      <c r="CB74" s="13"/>
      <c r="CC74" s="13"/>
      <c r="CD74" s="13"/>
      <c r="CE74" s="25"/>
      <c r="CF74" s="18"/>
    </row>
    <row r="75" spans="1:84" s="16" customFormat="1" x14ac:dyDescent="0.25">
      <c r="A75" s="17"/>
      <c r="B75" s="25"/>
      <c r="C75" s="25"/>
      <c r="D75" s="25"/>
      <c r="E75" s="18"/>
      <c r="F75" s="25"/>
      <c r="G75" s="25"/>
      <c r="H75" s="18"/>
      <c r="I75" s="17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18"/>
      <c r="Y75" s="17"/>
      <c r="Z75" s="25"/>
      <c r="AA75" s="25"/>
      <c r="AB75" s="25"/>
      <c r="AC75" s="75"/>
      <c r="AD75" s="75"/>
      <c r="AE75" s="75"/>
      <c r="AF75" s="75"/>
      <c r="AG75" s="75"/>
      <c r="AH75" s="75"/>
      <c r="AI75" s="117"/>
      <c r="AJ75" s="117"/>
      <c r="AK75" s="117"/>
      <c r="AL75" s="117"/>
      <c r="AM75" s="117"/>
      <c r="AN75" s="117"/>
      <c r="AO75" s="120"/>
      <c r="AP75" s="120"/>
      <c r="AQ75" s="120"/>
      <c r="AR75" s="120"/>
      <c r="AS75" s="120"/>
      <c r="AT75" s="120"/>
      <c r="AU75" s="132"/>
      <c r="AV75" s="132"/>
      <c r="AW75" s="25"/>
      <c r="AX75" s="25"/>
      <c r="AY75" s="25"/>
      <c r="AZ75" s="25"/>
      <c r="BA75" s="25"/>
      <c r="BB75" s="25"/>
      <c r="BC75" s="17"/>
      <c r="BD75" s="13"/>
      <c r="BE75" s="13"/>
      <c r="BF75" s="13"/>
      <c r="BG75" s="75"/>
      <c r="BH75" s="75"/>
      <c r="BI75" s="75"/>
      <c r="BJ75" s="75"/>
      <c r="BK75" s="75"/>
      <c r="BL75" s="75"/>
      <c r="BM75" s="117"/>
      <c r="BN75" s="117"/>
      <c r="BO75" s="117"/>
      <c r="BP75" s="117"/>
      <c r="BQ75" s="117"/>
      <c r="BR75" s="117"/>
      <c r="BS75" s="120"/>
      <c r="BT75" s="120"/>
      <c r="BU75" s="120"/>
      <c r="BV75" s="120"/>
      <c r="BW75" s="120"/>
      <c r="BX75" s="120"/>
      <c r="BY75" s="132"/>
      <c r="BZ75" s="132"/>
      <c r="CA75" s="13"/>
      <c r="CB75" s="13"/>
      <c r="CC75" s="13"/>
      <c r="CD75" s="13"/>
      <c r="CE75" s="25"/>
      <c r="CF75" s="18"/>
    </row>
    <row r="76" spans="1:84" s="16" customFormat="1" x14ac:dyDescent="0.25">
      <c r="A76" s="43"/>
      <c r="B76" s="44"/>
      <c r="C76" s="44"/>
      <c r="D76" s="44"/>
      <c r="E76" s="45">
        <f>SUM(E68:E75)</f>
        <v>1</v>
      </c>
      <c r="F76" s="44"/>
      <c r="G76" s="44"/>
      <c r="H76" s="44">
        <f>SUM(H68:H75)</f>
        <v>0</v>
      </c>
      <c r="I76" s="43"/>
      <c r="J76" s="44"/>
      <c r="K76" s="44"/>
      <c r="L76" s="44">
        <f>IF(SUM(L68:L75)&gt;=1,1,0)</f>
        <v>0</v>
      </c>
      <c r="M76" s="44"/>
      <c r="N76" s="44"/>
      <c r="O76" s="44">
        <f>IF(SUM(O68:O75)&gt;=1,1,0)</f>
        <v>0</v>
      </c>
      <c r="P76" s="44"/>
      <c r="Q76" s="44"/>
      <c r="R76" s="44">
        <f>IF(SUM(R68:R75)&gt;=1,1,0)</f>
        <v>0</v>
      </c>
      <c r="S76" s="44"/>
      <c r="T76" s="44"/>
      <c r="U76" s="44">
        <f>IF(SUM(U68:U75)&gt;=1,1,0)</f>
        <v>1</v>
      </c>
      <c r="V76" s="44">
        <f>IF(SUM(V68:V75)&gt;=1,1,0)</f>
        <v>0</v>
      </c>
      <c r="W76" s="44"/>
      <c r="X76" s="45"/>
      <c r="Y76" s="43"/>
      <c r="Z76" s="44"/>
      <c r="AA76" s="44"/>
      <c r="AB76" s="44">
        <f>IF(SUM(AB69:AB75)&gt;=1,1,0)</f>
        <v>0</v>
      </c>
      <c r="AC76" s="114"/>
      <c r="AD76" s="114"/>
      <c r="AE76" s="114">
        <f>IF(SUM(AE69:AE75)&gt;=1,1,0)</f>
        <v>0</v>
      </c>
      <c r="AF76" s="114"/>
      <c r="AG76" s="114"/>
      <c r="AH76" s="114">
        <f>IF(SUM(AH69:AH75)&gt;=1,1,0)</f>
        <v>0</v>
      </c>
      <c r="AI76" s="118"/>
      <c r="AJ76" s="118"/>
      <c r="AK76" s="118">
        <f>IF(SUM(AK69:AK75)&gt;=1,1,0)</f>
        <v>0</v>
      </c>
      <c r="AL76" s="118"/>
      <c r="AM76" s="118"/>
      <c r="AN76" s="118">
        <f>IF(SUM(AN69:AN75)&gt;=1,1,0)</f>
        <v>0</v>
      </c>
      <c r="AO76" s="121"/>
      <c r="AP76" s="121"/>
      <c r="AQ76" s="121">
        <f>IF(SUM(AQ69:AQ75)&gt;=1,1,0)</f>
        <v>0</v>
      </c>
      <c r="AR76" s="121"/>
      <c r="AS76" s="121"/>
      <c r="AT76" s="121">
        <f>IF(SUM(AT69:AT75)&gt;=1,1,0)</f>
        <v>0</v>
      </c>
      <c r="AU76" s="133">
        <f>IF(SUM(AU69:AU75)&gt;=1,1,0)</f>
        <v>0</v>
      </c>
      <c r="AV76" s="133">
        <f>IF(SUM(AV69:AV75)&gt;=1,1,0)</f>
        <v>0</v>
      </c>
      <c r="AW76" s="44"/>
      <c r="AX76" s="44"/>
      <c r="AY76" s="44">
        <f>IF(SUM(AY68:AY75)&gt;=1,1,0)</f>
        <v>1</v>
      </c>
      <c r="AZ76" s="44">
        <f>IF(SUM(AZ68:AZ75)&gt;=1,1,0)</f>
        <v>0</v>
      </c>
      <c r="BA76" s="44"/>
      <c r="BB76" s="44"/>
      <c r="BC76" s="43"/>
      <c r="BD76" s="61"/>
      <c r="BE76" s="61"/>
      <c r="BF76" s="61">
        <f>IF(SUM(BF68:BF75)&gt;=1,1,0)</f>
        <v>0</v>
      </c>
      <c r="BG76" s="114"/>
      <c r="BH76" s="114"/>
      <c r="BI76" s="114">
        <f>IF(SUM(BI69:BI75)&gt;=1,1,0)</f>
        <v>0</v>
      </c>
      <c r="BJ76" s="114"/>
      <c r="BK76" s="114"/>
      <c r="BL76" s="114">
        <f>IF(SUM(BL69:BL75)&gt;=1,1,0)</f>
        <v>0</v>
      </c>
      <c r="BM76" s="118"/>
      <c r="BN76" s="118"/>
      <c r="BO76" s="118">
        <f>IF(SUM(BO69:BO75)&gt;=1,1,0)</f>
        <v>0</v>
      </c>
      <c r="BP76" s="118"/>
      <c r="BQ76" s="118"/>
      <c r="BR76" s="118">
        <f>IF(SUM(BR69:BR75)&gt;=1,1,0)</f>
        <v>0</v>
      </c>
      <c r="BS76" s="121"/>
      <c r="BT76" s="121"/>
      <c r="BU76" s="121">
        <f>IF(SUM(BU69:BU75)&gt;=1,1,0)</f>
        <v>0</v>
      </c>
      <c r="BV76" s="121"/>
      <c r="BW76" s="121"/>
      <c r="BX76" s="121">
        <f>IF(SUM(BX69:BX75)&gt;=1,1,0)</f>
        <v>0</v>
      </c>
      <c r="BY76" s="133">
        <f>IF(SUM(BY69:BY75)&gt;=1,1,0)</f>
        <v>0</v>
      </c>
      <c r="BZ76" s="133">
        <f>IF(SUM(BZ69:BZ75)&gt;=1,1,0)</f>
        <v>0</v>
      </c>
      <c r="CA76" s="61"/>
      <c r="CB76" s="61"/>
      <c r="CC76" s="61">
        <f>IF(SUM(CC68:CC75)&gt;=1,1,0)</f>
        <v>1</v>
      </c>
      <c r="CD76" s="61">
        <f>IF(SUM(CD68:CD75)&gt;=1,1,0)</f>
        <v>0</v>
      </c>
      <c r="CE76" s="44"/>
      <c r="CF76" s="45"/>
    </row>
    <row r="77" spans="1:84" s="16" customFormat="1" x14ac:dyDescent="0.25"/>
    <row r="78" spans="1:84" s="16" customFormat="1" x14ac:dyDescent="0.25"/>
    <row r="79" spans="1:84" s="16" customFormat="1" x14ac:dyDescent="0.25">
      <c r="A79" s="54" t="s">
        <v>82</v>
      </c>
      <c r="I79" s="54" t="s">
        <v>82</v>
      </c>
      <c r="J79" s="54"/>
      <c r="K79" s="54"/>
      <c r="L79" s="54"/>
      <c r="Y79" s="54" t="s">
        <v>82</v>
      </c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BC79" s="54" t="s">
        <v>82</v>
      </c>
    </row>
    <row r="80" spans="1:84" s="16" customFormat="1" x14ac:dyDescent="0.25">
      <c r="A80" s="58" t="s">
        <v>254</v>
      </c>
      <c r="B80" s="59"/>
      <c r="C80" s="59"/>
      <c r="D80" s="59"/>
      <c r="E80" s="44"/>
      <c r="F80" s="44"/>
      <c r="G80" s="44"/>
      <c r="H80" s="45"/>
      <c r="I80" s="50" t="s">
        <v>248</v>
      </c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2"/>
      <c r="Y80" s="43" t="s">
        <v>235</v>
      </c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5"/>
      <c r="BC80" s="21" t="s">
        <v>242</v>
      </c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3"/>
    </row>
    <row r="81" spans="1:84" s="16" customFormat="1" x14ac:dyDescent="0.25">
      <c r="A81" s="21" t="s">
        <v>251</v>
      </c>
      <c r="B81" s="22" t="s">
        <v>252</v>
      </c>
      <c r="C81" s="22" t="s">
        <v>162</v>
      </c>
      <c r="D81" s="22" t="s">
        <v>3</v>
      </c>
      <c r="E81" s="23" t="s">
        <v>261</v>
      </c>
      <c r="F81" s="25" t="s">
        <v>255</v>
      </c>
      <c r="G81" s="25" t="s">
        <v>256</v>
      </c>
      <c r="H81" s="18" t="s">
        <v>262</v>
      </c>
      <c r="I81" s="55" t="s">
        <v>231</v>
      </c>
      <c r="J81" s="56" t="s">
        <v>236</v>
      </c>
      <c r="K81" s="56" t="s">
        <v>237</v>
      </c>
      <c r="L81" s="56" t="s">
        <v>238</v>
      </c>
      <c r="M81" s="56" t="s">
        <v>232</v>
      </c>
      <c r="N81" s="56" t="s">
        <v>233</v>
      </c>
      <c r="O81" s="56" t="s">
        <v>234</v>
      </c>
      <c r="P81" s="56" t="s">
        <v>486</v>
      </c>
      <c r="Q81" s="56" t="s">
        <v>487</v>
      </c>
      <c r="R81" s="56" t="s">
        <v>488</v>
      </c>
      <c r="S81" s="56" t="s">
        <v>239</v>
      </c>
      <c r="T81" s="56" t="s">
        <v>240</v>
      </c>
      <c r="U81" s="56" t="s">
        <v>241</v>
      </c>
      <c r="V81" s="56" t="s">
        <v>202</v>
      </c>
      <c r="W81" s="56" t="s">
        <v>246</v>
      </c>
      <c r="X81" s="57" t="s">
        <v>247</v>
      </c>
      <c r="AC81" s="126" t="s">
        <v>105</v>
      </c>
      <c r="AD81" s="75"/>
      <c r="AE81" s="75"/>
      <c r="AF81" s="75"/>
      <c r="AG81" s="75"/>
      <c r="AH81" s="75"/>
      <c r="AI81" s="127" t="s">
        <v>7</v>
      </c>
      <c r="AJ81" s="104"/>
      <c r="AK81" s="104"/>
      <c r="AL81" s="104"/>
      <c r="AM81" s="104"/>
      <c r="AN81" s="104"/>
      <c r="AO81" s="128" t="s">
        <v>45</v>
      </c>
      <c r="AP81" s="129"/>
      <c r="AQ81" s="119"/>
      <c r="AR81" s="119"/>
      <c r="AS81" s="119"/>
      <c r="AT81" s="119"/>
      <c r="AU81" s="115" t="s">
        <v>514</v>
      </c>
      <c r="AV81" s="115"/>
      <c r="AW81" s="34"/>
      <c r="AX81" s="34"/>
      <c r="AY81" s="34"/>
      <c r="AZ81" s="34"/>
      <c r="BA81" s="34"/>
      <c r="BB81" s="34"/>
      <c r="BC81" s="55"/>
      <c r="BD81" s="56"/>
      <c r="BE81" s="56"/>
      <c r="BF81" s="56"/>
      <c r="BG81" s="126" t="s">
        <v>105</v>
      </c>
      <c r="BH81" s="75"/>
      <c r="BI81" s="75"/>
      <c r="BJ81" s="75"/>
      <c r="BK81" s="75"/>
      <c r="BL81" s="75"/>
      <c r="BM81" s="127" t="s">
        <v>7</v>
      </c>
      <c r="BN81" s="104"/>
      <c r="BO81" s="104"/>
      <c r="BP81" s="104"/>
      <c r="BQ81" s="104"/>
      <c r="BR81" s="104"/>
      <c r="BS81" s="128" t="s">
        <v>45</v>
      </c>
      <c r="BT81" s="129"/>
      <c r="BU81" s="119"/>
      <c r="BV81" s="119"/>
      <c r="BW81" s="119"/>
      <c r="BX81" s="119"/>
      <c r="BY81" s="115" t="s">
        <v>514</v>
      </c>
      <c r="BZ81" s="115"/>
      <c r="CA81" s="56"/>
      <c r="CB81" s="56"/>
      <c r="CC81" s="56"/>
      <c r="CD81" s="56"/>
      <c r="CE81" s="56"/>
      <c r="CF81" s="57"/>
    </row>
    <row r="82" spans="1:84" s="16" customFormat="1" x14ac:dyDescent="0.25">
      <c r="A82" s="35">
        <v>15</v>
      </c>
      <c r="B82" s="34">
        <v>34</v>
      </c>
      <c r="C82" s="25" t="s">
        <v>87</v>
      </c>
      <c r="D82" s="25" t="s">
        <v>87</v>
      </c>
      <c r="E82" s="18">
        <f>IF(AND($B$16&gt;=Criteria!A82,$B$16&lt;=Criteria!B82),1,0)</f>
        <v>1</v>
      </c>
      <c r="F82" s="16">
        <v>5</v>
      </c>
      <c r="G82" s="16">
        <v>14</v>
      </c>
      <c r="H82" s="18">
        <f>IF(AND($B$15&gt;=F82,$B$15&lt;=G82),1,0)</f>
        <v>1</v>
      </c>
      <c r="I82" s="17" t="s">
        <v>176</v>
      </c>
      <c r="J82" s="25">
        <v>0</v>
      </c>
      <c r="K82" s="34">
        <v>82.5</v>
      </c>
      <c r="L82" s="25">
        <f>IF(AND($B$18&gt;=J82,$B$18&lt;=K82),1,0)</f>
        <v>1</v>
      </c>
      <c r="M82" s="34">
        <v>16</v>
      </c>
      <c r="N82" s="34">
        <v>54</v>
      </c>
      <c r="O82" s="25">
        <f>IF(AND($B$14&gt;=M82,$B$14&lt;=N82),1,0)</f>
        <v>0</v>
      </c>
      <c r="P82" s="34">
        <v>53</v>
      </c>
      <c r="Q82" s="34">
        <v>72</v>
      </c>
      <c r="R82" s="25">
        <f>IF(AND(Q82="NA",K82&lt;&gt;"NA"),L82,IF(AND($B$13&gt;=P82,$B$13&lt;=Q82),1,0))</f>
        <v>0</v>
      </c>
      <c r="S82" s="25">
        <v>0</v>
      </c>
      <c r="T82" s="25">
        <v>4</v>
      </c>
      <c r="U82" s="25">
        <f>IF(AND($B$17&gt;=S82,$B$17&lt;=T82),1,0)</f>
        <v>1</v>
      </c>
      <c r="V82" s="25">
        <f>IF(AND(IF(L82="NA",1,L82)=1,IF(O82="NA",1,O82)=1,IF(R82="NA",1,R82)=1,IF(U82="NA",1,U82)=1),1,0)</f>
        <v>0</v>
      </c>
      <c r="W82" s="25">
        <v>1</v>
      </c>
      <c r="X82" s="18" t="str">
        <f>IF(V82=1,W82,"NA")</f>
        <v>NA</v>
      </c>
      <c r="Y82" s="35" t="s">
        <v>231</v>
      </c>
      <c r="Z82" s="34" t="s">
        <v>236</v>
      </c>
      <c r="AA82" s="34" t="s">
        <v>237</v>
      </c>
      <c r="AB82" s="34" t="s">
        <v>238</v>
      </c>
      <c r="AC82" s="75" t="s">
        <v>232</v>
      </c>
      <c r="AD82" s="75" t="s">
        <v>233</v>
      </c>
      <c r="AE82" s="75" t="s">
        <v>234</v>
      </c>
      <c r="AF82" s="75" t="s">
        <v>486</v>
      </c>
      <c r="AG82" s="75" t="s">
        <v>487</v>
      </c>
      <c r="AH82" s="75" t="s">
        <v>488</v>
      </c>
      <c r="AI82" s="117" t="s">
        <v>232</v>
      </c>
      <c r="AJ82" s="117" t="s">
        <v>233</v>
      </c>
      <c r="AK82" s="117" t="s">
        <v>234</v>
      </c>
      <c r="AL82" s="117" t="s">
        <v>486</v>
      </c>
      <c r="AM82" s="117" t="s">
        <v>487</v>
      </c>
      <c r="AN82" s="117" t="s">
        <v>488</v>
      </c>
      <c r="AO82" s="120" t="s">
        <v>232</v>
      </c>
      <c r="AP82" s="120" t="s">
        <v>233</v>
      </c>
      <c r="AQ82" s="120" t="s">
        <v>234</v>
      </c>
      <c r="AR82" s="120" t="s">
        <v>486</v>
      </c>
      <c r="AS82" s="120" t="s">
        <v>487</v>
      </c>
      <c r="AT82" s="120" t="s">
        <v>488</v>
      </c>
      <c r="AU82" s="116" t="s">
        <v>234</v>
      </c>
      <c r="AV82" s="116" t="s">
        <v>488</v>
      </c>
      <c r="AW82" s="25" t="s">
        <v>239</v>
      </c>
      <c r="AX82" s="25" t="s">
        <v>240</v>
      </c>
      <c r="AY82" s="25" t="s">
        <v>241</v>
      </c>
      <c r="AZ82" s="25" t="s">
        <v>202</v>
      </c>
      <c r="BA82" s="25" t="s">
        <v>246</v>
      </c>
      <c r="BB82" s="25" t="s">
        <v>247</v>
      </c>
      <c r="BC82" s="17" t="s">
        <v>231</v>
      </c>
      <c r="BD82" s="13" t="s">
        <v>243</v>
      </c>
      <c r="BE82" s="13" t="s">
        <v>244</v>
      </c>
      <c r="BF82" s="13" t="s">
        <v>245</v>
      </c>
      <c r="BG82" s="75" t="s">
        <v>232</v>
      </c>
      <c r="BH82" s="75" t="s">
        <v>233</v>
      </c>
      <c r="BI82" s="75" t="s">
        <v>234</v>
      </c>
      <c r="BJ82" s="75" t="s">
        <v>486</v>
      </c>
      <c r="BK82" s="75" t="s">
        <v>487</v>
      </c>
      <c r="BL82" s="75" t="s">
        <v>488</v>
      </c>
      <c r="BM82" s="117" t="s">
        <v>232</v>
      </c>
      <c r="BN82" s="117" t="s">
        <v>233</v>
      </c>
      <c r="BO82" s="117" t="s">
        <v>234</v>
      </c>
      <c r="BP82" s="117" t="s">
        <v>486</v>
      </c>
      <c r="BQ82" s="117" t="s">
        <v>487</v>
      </c>
      <c r="BR82" s="117" t="s">
        <v>488</v>
      </c>
      <c r="BS82" s="120" t="s">
        <v>232</v>
      </c>
      <c r="BT82" s="120" t="s">
        <v>233</v>
      </c>
      <c r="BU82" s="120" t="s">
        <v>234</v>
      </c>
      <c r="BV82" s="120" t="s">
        <v>486</v>
      </c>
      <c r="BW82" s="120" t="s">
        <v>487</v>
      </c>
      <c r="BX82" s="120" t="s">
        <v>488</v>
      </c>
      <c r="BY82" s="116" t="s">
        <v>234</v>
      </c>
      <c r="BZ82" s="116" t="s">
        <v>488</v>
      </c>
      <c r="CA82" s="13" t="s">
        <v>239</v>
      </c>
      <c r="CB82" s="13" t="s">
        <v>240</v>
      </c>
      <c r="CC82" s="13" t="s">
        <v>241</v>
      </c>
      <c r="CD82" s="13" t="s">
        <v>202</v>
      </c>
      <c r="CE82" s="25" t="s">
        <v>246</v>
      </c>
      <c r="CF82" s="60" t="s">
        <v>247</v>
      </c>
    </row>
    <row r="83" spans="1:84" s="16" customFormat="1" x14ac:dyDescent="0.25">
      <c r="A83" s="17"/>
      <c r="B83" s="25"/>
      <c r="C83" s="25"/>
      <c r="D83" s="25"/>
      <c r="E83" s="18"/>
      <c r="H83" s="18"/>
      <c r="I83" s="17" t="s">
        <v>177</v>
      </c>
      <c r="J83" s="25">
        <v>0</v>
      </c>
      <c r="K83" s="25">
        <v>82.5</v>
      </c>
      <c r="L83" s="25">
        <f>IF(AND($B$18&gt;=J83,$B$18&lt;=K83),1,0)</f>
        <v>1</v>
      </c>
      <c r="M83" s="34">
        <v>16</v>
      </c>
      <c r="N83" s="34">
        <v>74</v>
      </c>
      <c r="O83" s="25">
        <f>IF(AND($B$14&gt;=M83,$B$14&lt;=N83),1,0)</f>
        <v>1</v>
      </c>
      <c r="P83" s="34">
        <v>73</v>
      </c>
      <c r="Q83" s="34">
        <v>99</v>
      </c>
      <c r="R83" s="25">
        <f>IF(AND(Q83="NA",K83&lt;&gt;"NA"),L83,IF(AND($B$13&gt;=P83,$B$13&lt;=Q83),1,0))</f>
        <v>1</v>
      </c>
      <c r="S83" s="25">
        <v>0</v>
      </c>
      <c r="T83" s="25">
        <v>4</v>
      </c>
      <c r="U83" s="25">
        <f>IF(AND($B$17&gt;=S83,$B$17&lt;=T83),1,0)</f>
        <v>1</v>
      </c>
      <c r="V83" s="25">
        <f>IF(AND(IF(L83="NA",1,L83)=1,IF(O83="NA",1,O83)=1,IF(R83="NA",1,R83)=1,IF(U83="NA",1,U83)=1),1,0)</f>
        <v>1</v>
      </c>
      <c r="W83" s="25">
        <v>2</v>
      </c>
      <c r="X83" s="18">
        <f>IF(V83=1,W83,"NA")</f>
        <v>2</v>
      </c>
      <c r="Y83" s="17" t="s">
        <v>280</v>
      </c>
      <c r="Z83" s="25">
        <v>0</v>
      </c>
      <c r="AA83" s="25">
        <v>45</v>
      </c>
      <c r="AB83" s="13">
        <f>IF(AA83="NA",1,IF(AND($B$18&gt;=Z83,$B$18&lt;=AA83),1,0))</f>
        <v>0</v>
      </c>
      <c r="AC83" s="122">
        <v>0</v>
      </c>
      <c r="AD83" s="122">
        <f>IF($B$13-6.5&gt;AG83-6.5,AG83-6.5,$B$13-6.5)</f>
        <v>39.5</v>
      </c>
      <c r="AE83" s="122">
        <f>IF(AD83="NA",1,IF(AND($B$14&gt;=AC83,$B$14&lt;=AD83),1,0))</f>
        <v>0</v>
      </c>
      <c r="AF83" s="75">
        <v>0</v>
      </c>
      <c r="AG83" s="75">
        <v>46</v>
      </c>
      <c r="AH83" s="75">
        <f>IF(AND($B$13&gt;=AF83,$B$13&lt;=AG83),1,0)</f>
        <v>0</v>
      </c>
      <c r="AI83" s="117">
        <v>0</v>
      </c>
      <c r="AJ83" s="117">
        <f>IF($B$13-9.7&gt;AM83-9.7,AM83-9.7,$B$13-9.7)</f>
        <v>33.299999999999997</v>
      </c>
      <c r="AK83" s="117">
        <f>IF(AJ83="NA",1,IF(AND($B$14&gt;=AI83,$B$14&lt;=AJ83),1,0))</f>
        <v>0</v>
      </c>
      <c r="AL83" s="117">
        <v>0</v>
      </c>
      <c r="AM83" s="117">
        <v>43</v>
      </c>
      <c r="AN83" s="130">
        <f>IF(AM83="NA",1,IF(AND($B$13&gt;=AL83,$B$13&lt;=AM83),1,0))</f>
        <v>0</v>
      </c>
      <c r="AO83" s="120">
        <v>0</v>
      </c>
      <c r="AP83" s="120">
        <f>IF($B$13-11&gt;AS83-11,AS83-11,$B$13-11)</f>
        <v>31</v>
      </c>
      <c r="AQ83" s="120">
        <f>IF(AP83="NA",1,IF(AND($B$14&gt;=AO83,$B$14&lt;=AP83),1,0))</f>
        <v>0</v>
      </c>
      <c r="AR83" s="120">
        <v>0</v>
      </c>
      <c r="AS83" s="120">
        <v>42</v>
      </c>
      <c r="AT83" s="120">
        <f>IF(AS83="NA",1,IF(AND($B$13&gt;=AR83,$B$13&lt;=AS83),1,0))</f>
        <v>0</v>
      </c>
      <c r="AU83" s="132" t="str">
        <f>IF($C$22="M3",AE83,IF($C$22="M4",AK83,IF($C$22="M5",AQ83,"???")))</f>
        <v>???</v>
      </c>
      <c r="AV83" s="132" t="str">
        <f>IF($C$22="M3",AH83,IF($C$22="M4",AN83,IF($C$22="M5",AT83,"???")))</f>
        <v>???</v>
      </c>
      <c r="AW83" s="25">
        <v>0</v>
      </c>
      <c r="AX83" s="25">
        <v>4</v>
      </c>
      <c r="AY83" s="25">
        <f>IF(AND($B$17&gt;=AW83,$B$17&lt;=AX83),1,0)</f>
        <v>1</v>
      </c>
      <c r="AZ83" s="25">
        <f>IF(AND(IF(AB83="NA",1,AB83)=1,IF(AU83="NA",1,AU83)=1,IF(AV83="NA",1,AV83)=1,IF(AY83="NA",1,AY83)=1),1,0)</f>
        <v>0</v>
      </c>
      <c r="BA83" s="25">
        <v>1</v>
      </c>
      <c r="BB83" s="25" t="str">
        <f>IF(AZ83=1,BA83,"NA")</f>
        <v>NA</v>
      </c>
      <c r="BC83" s="17" t="s">
        <v>280</v>
      </c>
      <c r="BD83" s="13">
        <v>0</v>
      </c>
      <c r="BE83" s="13">
        <v>60</v>
      </c>
      <c r="BF83" s="13">
        <f>IF(BE83="NA",1,IF(AND($B$18&gt;=BD83,$B$18&lt;=BE83),1,0))</f>
        <v>0</v>
      </c>
      <c r="BG83" s="122">
        <v>0</v>
      </c>
      <c r="BH83" s="122">
        <f>IF($B$13-6.5&gt;BK83-6.5,BK83-6.5,$B$13-6.5)</f>
        <v>39.5</v>
      </c>
      <c r="BI83" s="122">
        <f>IF(BH83="NA",1,IF(AND($B$14&gt;=BG83,$B$14&lt;=BH83),1,0))</f>
        <v>0</v>
      </c>
      <c r="BJ83" s="75">
        <v>0</v>
      </c>
      <c r="BK83" s="75">
        <v>46</v>
      </c>
      <c r="BL83" s="75">
        <f>IF(AND($B$13&gt;=BJ83,$B$13&lt;=BK83),1,0)</f>
        <v>0</v>
      </c>
      <c r="BM83" s="117">
        <v>0</v>
      </c>
      <c r="BN83" s="117">
        <f>IF($B$13-9.7&gt;BQ83-9.7,BQ83-9.7,$B$13-9.7)</f>
        <v>33.299999999999997</v>
      </c>
      <c r="BO83" s="117">
        <f>IF(BN83="NA",1,IF(AND($B$14&gt;=BM83,$B$14&lt;=BN83),1,0))</f>
        <v>0</v>
      </c>
      <c r="BP83" s="117">
        <v>0</v>
      </c>
      <c r="BQ83" s="117">
        <v>43</v>
      </c>
      <c r="BR83" s="130">
        <f>IF(BQ83="NA",1,IF(AND($B$13&gt;=BP83,$B$13&lt;=BQ83),1,0))</f>
        <v>0</v>
      </c>
      <c r="BS83" s="120">
        <v>0</v>
      </c>
      <c r="BT83" s="120">
        <f>IF($B$13-11&gt;BW83-11,BW83-11,$B$13-11)</f>
        <v>31</v>
      </c>
      <c r="BU83" s="120">
        <f>IF(BT83="NA",1,IF(AND($B$14&gt;=BS83,$B$14&lt;=BT83),1,0))</f>
        <v>0</v>
      </c>
      <c r="BV83" s="120">
        <v>0</v>
      </c>
      <c r="BW83" s="120">
        <v>42</v>
      </c>
      <c r="BX83" s="120">
        <f>IF(BW83="NA",1,IF(AND($B$13&gt;=BV83,$B$13&lt;=BW83),1,0))</f>
        <v>0</v>
      </c>
      <c r="BY83" s="132" t="str">
        <f>IF($C$22="M3",BI83,IF($C$22="M4",BO83,IF($C$22="M5",BU83,"???")))</f>
        <v>???</v>
      </c>
      <c r="BZ83" s="132" t="str">
        <f>IF($C$22="M3",BL83,IF($C$22="M4",BR83,IF($C$22="M5",BX83,"???")))</f>
        <v>???</v>
      </c>
      <c r="CA83" s="13">
        <v>0</v>
      </c>
      <c r="CB83" s="13">
        <v>4</v>
      </c>
      <c r="CC83" s="13">
        <f>IF(AND($B$17&gt;=CA83,$B$17&lt;=CB83),1,0)</f>
        <v>1</v>
      </c>
      <c r="CD83" s="25">
        <f>IF(AND(IF(BF83="NA",1,BF83)=1,IF(BY83="NA",1,BY83)=1,IF(BZ83="NA",1,BZ83)=1,IF(CC83="NA",1,CC83)=1),1,0)</f>
        <v>0</v>
      </c>
      <c r="CE83" s="25">
        <v>1</v>
      </c>
      <c r="CF83" s="60" t="str">
        <f>IF(CD83=1,CE83,"NA")</f>
        <v>NA</v>
      </c>
    </row>
    <row r="84" spans="1:84" s="16" customFormat="1" x14ac:dyDescent="0.25">
      <c r="A84" s="17"/>
      <c r="B84" s="25"/>
      <c r="C84" s="25"/>
      <c r="D84" s="25"/>
      <c r="E84" s="18"/>
      <c r="F84" s="25"/>
      <c r="G84" s="25"/>
      <c r="H84" s="18"/>
      <c r="I84" s="17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18"/>
      <c r="Y84" s="17" t="s">
        <v>281</v>
      </c>
      <c r="Z84" s="25">
        <v>0</v>
      </c>
      <c r="AA84" s="25">
        <v>64</v>
      </c>
      <c r="AB84" s="13">
        <f>IF(AA84="NA",1,IF(AND($B$18&gt;=Z84,$B$18&lt;=AA84),1,0))</f>
        <v>0</v>
      </c>
      <c r="AC84" s="122">
        <v>0</v>
      </c>
      <c r="AD84" s="122">
        <f>IF($B$13-6.5&gt;AG84-6.5,AG84-6.5,$B$13-6.5)</f>
        <v>55.5</v>
      </c>
      <c r="AE84" s="122">
        <f>IF(AD84="NA",1,IF(AND($B$14&gt;=AC84,$B$14&lt;=AD84),1,0))</f>
        <v>0</v>
      </c>
      <c r="AF84" s="75">
        <v>0</v>
      </c>
      <c r="AG84" s="75">
        <v>62</v>
      </c>
      <c r="AH84" s="75">
        <f>IF(AND($B$13&gt;=AF84,$B$13&lt;=AG84),1,0)</f>
        <v>0</v>
      </c>
      <c r="AI84" s="117">
        <v>0</v>
      </c>
      <c r="AJ84" s="117">
        <f>IF($B$13-9.7&gt;AM84-9.7,AM84-9.7,$B$13-9.7)</f>
        <v>49.3</v>
      </c>
      <c r="AK84" s="117">
        <f>IF(AJ84="NA",1,IF(AND($B$14&gt;=AI84,$B$14&lt;=AJ84),1,0))</f>
        <v>0</v>
      </c>
      <c r="AL84" s="117">
        <v>0</v>
      </c>
      <c r="AM84" s="117">
        <v>59</v>
      </c>
      <c r="AN84" s="130">
        <f>IF(AM84="NA",1,IF(AND($B$13&gt;=AL84,$B$13&lt;=AM84),1,0))</f>
        <v>0</v>
      </c>
      <c r="AO84" s="120">
        <v>0</v>
      </c>
      <c r="AP84" s="120">
        <f>IF($B$13-11&gt;AS84-11,AS84-11,$B$13-11)</f>
        <v>47</v>
      </c>
      <c r="AQ84" s="120">
        <f>IF(AP84="NA",1,IF(AND($B$14&gt;=AO84,$B$14&lt;=AP84),1,0))</f>
        <v>0</v>
      </c>
      <c r="AR84" s="120"/>
      <c r="AS84" s="120">
        <v>58</v>
      </c>
      <c r="AT84" s="120">
        <f>IF(AS84="NA",1,IF(AND($B$13&gt;=AR84,$B$13&lt;=AS84),1,0))</f>
        <v>0</v>
      </c>
      <c r="AU84" s="132" t="str">
        <f>IF($C$22="M3",AE84,IF($C$22="M4",AK84,IF($C$22="M5",AQ84,"???")))</f>
        <v>???</v>
      </c>
      <c r="AV84" s="132" t="str">
        <f>IF($C$22="M3",AH84,IF($C$22="M4",AN84,IF($C$22="M5",AT84,"???")))</f>
        <v>???</v>
      </c>
      <c r="AW84" s="34">
        <v>0</v>
      </c>
      <c r="AX84" s="34">
        <v>4</v>
      </c>
      <c r="AY84" s="25">
        <f>IF(AND($B$17&gt;=AW84,$B$17&lt;=AX84),1,0)</f>
        <v>1</v>
      </c>
      <c r="AZ84" s="25">
        <f>IF(AND(IF(AB84="NA",1,AB84)=1,IF(AU84="NA",1,AU84)=1,IF(AV84="NA",1,AV84)=1,IF(AY84="NA",1,AY84)=1),1,0)</f>
        <v>0</v>
      </c>
      <c r="BA84" s="16">
        <v>3</v>
      </c>
      <c r="BB84" s="13" t="str">
        <f>IF(AZ84=1,BA84,"NA")</f>
        <v>NA</v>
      </c>
      <c r="BC84" s="17" t="s">
        <v>281</v>
      </c>
      <c r="BD84" s="25">
        <v>0</v>
      </c>
      <c r="BE84" s="25">
        <v>80</v>
      </c>
      <c r="BF84" s="13">
        <f>IF(BE84="NA",1,IF(AND($B$18&gt;=BD84,$B$18&lt;=BE84),1,0))</f>
        <v>1</v>
      </c>
      <c r="BG84" s="122">
        <v>0</v>
      </c>
      <c r="BH84" s="122">
        <f>IF($B$13-6.5&gt;BK84-6.5,BK84-6.5,$B$13-6.5)</f>
        <v>55.5</v>
      </c>
      <c r="BI84" s="122">
        <f>IF(BH84="NA",1,IF(AND($B$14&gt;=BG84,$B$14&lt;=BH84),1,0))</f>
        <v>0</v>
      </c>
      <c r="BJ84" s="75">
        <v>0</v>
      </c>
      <c r="BK84" s="75">
        <v>62</v>
      </c>
      <c r="BL84" s="75">
        <f>IF(AND($B$13&gt;=BJ84,$B$13&lt;=BK84),1,0)</f>
        <v>0</v>
      </c>
      <c r="BM84" s="117">
        <v>0</v>
      </c>
      <c r="BN84" s="117">
        <f>IF($B$13-9.7&gt;BQ84-9.7,BQ84-9.7,$B$13-9.7)</f>
        <v>49.3</v>
      </c>
      <c r="BO84" s="117">
        <f>IF(BN84="NA",1,IF(AND($B$14&gt;=BM84,$B$14&lt;=BN84),1,0))</f>
        <v>0</v>
      </c>
      <c r="BP84" s="117">
        <v>0</v>
      </c>
      <c r="BQ84" s="117">
        <v>59</v>
      </c>
      <c r="BR84" s="130">
        <f>IF(BQ84="NA",1,IF(AND($B$13&gt;=BP84,$B$13&lt;=BQ84),1,0))</f>
        <v>0</v>
      </c>
      <c r="BS84" s="120">
        <v>0</v>
      </c>
      <c r="BT84" s="120">
        <f>IF($B$13-11&gt;BW84-11,BW84-11,$B$13-11)</f>
        <v>47</v>
      </c>
      <c r="BU84" s="120">
        <f>IF(BT84="NA",1,IF(AND($B$14&gt;=BS84,$B$14&lt;=BT84),1,0))</f>
        <v>0</v>
      </c>
      <c r="BV84" s="120"/>
      <c r="BW84" s="120">
        <v>58</v>
      </c>
      <c r="BX84" s="120">
        <f>IF(BW84="NA",1,IF(AND($B$13&gt;=BV84,$B$13&lt;=BW84),1,0))</f>
        <v>0</v>
      </c>
      <c r="BY84" s="132" t="str">
        <f>IF($C$22="M3",BI84,IF($C$22="M4",BO84,IF($C$22="M5",BU84,"???")))</f>
        <v>???</v>
      </c>
      <c r="BZ84" s="132" t="str">
        <f>IF($C$22="M3",BL84,IF($C$22="M4",BR84,IF($C$22="M5",BX84,"???")))</f>
        <v>???</v>
      </c>
      <c r="CA84" s="34">
        <v>0</v>
      </c>
      <c r="CB84" s="25">
        <v>4</v>
      </c>
      <c r="CC84" s="13">
        <f>IF(AND($B$17&gt;=CA84,$B$17&lt;=CB84),1,0)</f>
        <v>1</v>
      </c>
      <c r="CD84" s="25">
        <f>IF(AND(IF(BF84="NA",1,BF84)=1,IF(BY84="NA",1,BY84)=1,IF(BZ84="NA",1,BZ84)=1,IF(CC84="NA",1,CC84)=1),1,0)</f>
        <v>0</v>
      </c>
      <c r="CE84" s="34">
        <v>3</v>
      </c>
      <c r="CF84" s="60" t="str">
        <f>IF(CD84=1,CE84,"NA")</f>
        <v>NA</v>
      </c>
    </row>
    <row r="85" spans="1:84" s="16" customFormat="1" x14ac:dyDescent="0.25">
      <c r="A85" s="17"/>
      <c r="B85" s="25"/>
      <c r="C85" s="25"/>
      <c r="D85" s="25"/>
      <c r="E85" s="18"/>
      <c r="F85" s="25"/>
      <c r="G85" s="25"/>
      <c r="H85" s="18"/>
      <c r="I85" s="17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18"/>
      <c r="Y85" s="34" t="s">
        <v>177</v>
      </c>
      <c r="Z85" s="12">
        <v>0</v>
      </c>
      <c r="AA85" s="12">
        <v>82.5</v>
      </c>
      <c r="AB85" s="13">
        <f>IF(AA85="NA",1,IF(AND($B$18&gt;=Z85,$B$18&lt;=AA85),1,0))</f>
        <v>1</v>
      </c>
      <c r="AC85" s="75">
        <v>16</v>
      </c>
      <c r="AD85" s="75">
        <v>68</v>
      </c>
      <c r="AE85" s="75">
        <f>IF(AND($B$14&gt;=AC85,$B$14&lt;=AD85),1,0)</f>
        <v>1</v>
      </c>
      <c r="AF85" s="75">
        <v>91</v>
      </c>
      <c r="AG85" s="75">
        <v>98</v>
      </c>
      <c r="AH85" s="75">
        <f>IF(AND(AG85="NA",AA85&lt;&gt;"NA"),AB85,IF(AND($B$13&gt;=AF85,$B$13&lt;=AG85),1,0))</f>
        <v>0</v>
      </c>
      <c r="AI85" s="117">
        <v>16</v>
      </c>
      <c r="AJ85" s="117">
        <v>68</v>
      </c>
      <c r="AK85" s="117">
        <f>IF(AND($B$14&gt;=AI85,$B$14&lt;=AJ85),1,0)</f>
        <v>1</v>
      </c>
      <c r="AL85" s="117">
        <v>91</v>
      </c>
      <c r="AM85" s="117">
        <v>98</v>
      </c>
      <c r="AN85" s="117">
        <f>IF(AND(AM85="NA",AG85&lt;&gt;"NA"),AH85,IF(AND($B$13&gt;=AL85,$B$13&lt;=AM85),1,0))</f>
        <v>0</v>
      </c>
      <c r="AO85" s="120">
        <v>16</v>
      </c>
      <c r="AP85" s="120">
        <v>68</v>
      </c>
      <c r="AQ85" s="120">
        <f>IF(AND($B$14&gt;=AO85,$B$14&lt;=AP85),1,0)</f>
        <v>1</v>
      </c>
      <c r="AR85" s="120">
        <v>91</v>
      </c>
      <c r="AS85" s="120">
        <v>98</v>
      </c>
      <c r="AT85" s="120">
        <f>IF(AND(AS85="NA",AM85&lt;&gt;"NA"),AN85,IF(AND($B$13&gt;=AR85,$B$13&lt;=AS85),1,0))</f>
        <v>0</v>
      </c>
      <c r="AU85" s="132"/>
      <c r="AV85" s="132"/>
      <c r="AW85" s="25">
        <v>0</v>
      </c>
      <c r="AX85" s="25">
        <v>4</v>
      </c>
      <c r="AY85" s="25">
        <f>IF(AND($B$17&gt;=AW85,$B$17&lt;=AX85),1,0)</f>
        <v>1</v>
      </c>
      <c r="AZ85" s="25">
        <f>IF(AND(IF(AB85="NA",1,AB85)=1,IF(AU85="NA",1,AU85)=1,IF(AV85="NA",1,AV85)=1,IF(AY85="NA",1,AY85)=1),1,0)</f>
        <v>0</v>
      </c>
      <c r="BA85" s="25">
        <v>2</v>
      </c>
      <c r="BB85" s="25" t="str">
        <f>IF(AZ85=1,BA85,"NA")</f>
        <v>NA</v>
      </c>
      <c r="BC85" s="17" t="s">
        <v>177</v>
      </c>
      <c r="BD85" s="13">
        <v>0</v>
      </c>
      <c r="BE85" s="13">
        <v>82.5</v>
      </c>
      <c r="BF85" s="13">
        <f>IF(BE85="NA",1,IF(AND($B$18&gt;=BD85,$B$18&lt;=BE85),1,0))</f>
        <v>1</v>
      </c>
      <c r="BG85" s="75">
        <v>16</v>
      </c>
      <c r="BH85" s="75">
        <v>68</v>
      </c>
      <c r="BI85" s="75">
        <f>IF(AND($B$14&gt;=BG85,$B$14&lt;=BH85),1,0)</f>
        <v>1</v>
      </c>
      <c r="BJ85" s="75">
        <v>91</v>
      </c>
      <c r="BK85" s="75">
        <v>98</v>
      </c>
      <c r="BL85" s="75">
        <f>IF(AND(BK85="NA",BE85&lt;&gt;"NA"),BF85,IF(AND($B$13&gt;=BJ85,$B$13&lt;=BK85),1,0))</f>
        <v>0</v>
      </c>
      <c r="BM85" s="117">
        <v>16</v>
      </c>
      <c r="BN85" s="117">
        <v>68</v>
      </c>
      <c r="BO85" s="117">
        <f>IF(AND($B$14&gt;=BM85,$B$14&lt;=BN85),1,0)</f>
        <v>1</v>
      </c>
      <c r="BP85" s="117">
        <v>91</v>
      </c>
      <c r="BQ85" s="117">
        <v>98</v>
      </c>
      <c r="BR85" s="117">
        <f>IF(AND(BQ85="NA",BK85&lt;&gt;"NA"),BL85,IF(AND($B$13&gt;=BP85,$B$13&lt;=BQ85),1,0))</f>
        <v>0</v>
      </c>
      <c r="BS85" s="120">
        <v>16</v>
      </c>
      <c r="BT85" s="120">
        <v>68</v>
      </c>
      <c r="BU85" s="120">
        <f>IF(AND($B$14&gt;=BS85,$B$14&lt;=BT85),1,0)</f>
        <v>1</v>
      </c>
      <c r="BV85" s="120">
        <v>91</v>
      </c>
      <c r="BW85" s="120">
        <v>98</v>
      </c>
      <c r="BX85" s="120">
        <f>IF(AND(BW85="NA",BQ85&lt;&gt;"NA"),BR85,IF(AND($B$13&gt;=BV85,$B$13&lt;=BW85),1,0))</f>
        <v>0</v>
      </c>
      <c r="BY85" s="132" t="str">
        <f>IF($C$22="M3",BI85,IF($C$22="M4",BO85,IF($C$22="M5",BU85,"???")))</f>
        <v>???</v>
      </c>
      <c r="BZ85" s="132" t="str">
        <f>IF($C$22="M3",BL85,IF($C$22="M4",BR85,IF($C$22="M5",BX85,"???")))</f>
        <v>???</v>
      </c>
      <c r="CA85" s="13">
        <v>0</v>
      </c>
      <c r="CB85" s="13">
        <v>4</v>
      </c>
      <c r="CC85" s="13">
        <f>IF(AND($B$17&gt;=CA85,$B$17&lt;=CB85),1,0)</f>
        <v>1</v>
      </c>
      <c r="CD85" s="25">
        <f>IF(AND(IF(BF85="NA",1,BF85)=1,IF(BY85="NA",1,BY85)=1,IF(BZ85="NA",1,BZ85)=1,IF(CC85="NA",1,CC85)=1),1,0)</f>
        <v>0</v>
      </c>
      <c r="CE85" s="34">
        <v>2</v>
      </c>
      <c r="CF85" s="60" t="str">
        <f>IF(CD85=1,CE85,"NA")</f>
        <v>NA</v>
      </c>
    </row>
    <row r="86" spans="1:84" s="16" customFormat="1" x14ac:dyDescent="0.25">
      <c r="A86" s="17"/>
      <c r="B86" s="25"/>
      <c r="C86" s="25"/>
      <c r="D86" s="25"/>
      <c r="E86" s="18"/>
      <c r="F86" s="25"/>
      <c r="G86" s="25"/>
      <c r="H86" s="18"/>
      <c r="I86" s="17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18"/>
      <c r="Y86" s="17"/>
      <c r="Z86" s="25"/>
      <c r="AA86" s="25"/>
      <c r="AB86" s="25"/>
      <c r="AC86" s="75"/>
      <c r="AD86" s="75"/>
      <c r="AE86" s="75"/>
      <c r="AF86" s="75"/>
      <c r="AG86" s="75"/>
      <c r="AH86" s="75"/>
      <c r="AI86" s="117"/>
      <c r="AJ86" s="117"/>
      <c r="AK86" s="117"/>
      <c r="AL86" s="117"/>
      <c r="AM86" s="117"/>
      <c r="AN86" s="117"/>
      <c r="AO86" s="120"/>
      <c r="AP86" s="120"/>
      <c r="AQ86" s="120"/>
      <c r="AR86" s="120"/>
      <c r="AS86" s="120"/>
      <c r="AT86" s="120"/>
      <c r="AU86" s="132"/>
      <c r="AV86" s="132"/>
      <c r="AW86" s="25"/>
      <c r="AX86" s="25"/>
      <c r="AY86" s="25"/>
      <c r="AZ86" s="25"/>
      <c r="BA86" s="25"/>
      <c r="BB86" s="25"/>
      <c r="BC86" s="17"/>
      <c r="BD86" s="13"/>
      <c r="BE86" s="13"/>
      <c r="BF86" s="13"/>
      <c r="BG86" s="75"/>
      <c r="BH86" s="75"/>
      <c r="BI86" s="75"/>
      <c r="BJ86" s="75"/>
      <c r="BK86" s="75"/>
      <c r="BL86" s="75"/>
      <c r="BM86" s="117"/>
      <c r="BN86" s="117"/>
      <c r="BO86" s="117"/>
      <c r="BP86" s="117"/>
      <c r="BQ86" s="117"/>
      <c r="BR86" s="117"/>
      <c r="BS86" s="120"/>
      <c r="BT86" s="120"/>
      <c r="BU86" s="120"/>
      <c r="BV86" s="120"/>
      <c r="BW86" s="120"/>
      <c r="BX86" s="120"/>
      <c r="BY86" s="132"/>
      <c r="BZ86" s="132"/>
      <c r="CA86" s="13"/>
      <c r="CB86" s="13"/>
      <c r="CC86" s="13"/>
      <c r="CD86" s="13"/>
      <c r="CE86" s="25"/>
      <c r="CF86" s="18"/>
    </row>
    <row r="87" spans="1:84" s="16" customFormat="1" x14ac:dyDescent="0.25">
      <c r="A87" s="17"/>
      <c r="B87" s="25"/>
      <c r="C87" s="25"/>
      <c r="D87" s="25"/>
      <c r="E87" s="18"/>
      <c r="F87" s="25"/>
      <c r="G87" s="25"/>
      <c r="H87" s="18"/>
      <c r="I87" s="17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18"/>
      <c r="Y87" s="17"/>
      <c r="Z87" s="25"/>
      <c r="AA87" s="25"/>
      <c r="AB87" s="25"/>
      <c r="AC87" s="75"/>
      <c r="AD87" s="75"/>
      <c r="AE87" s="75"/>
      <c r="AF87" s="75"/>
      <c r="AG87" s="75"/>
      <c r="AH87" s="75"/>
      <c r="AI87" s="117"/>
      <c r="AJ87" s="117"/>
      <c r="AK87" s="117"/>
      <c r="AL87" s="117"/>
      <c r="AM87" s="117"/>
      <c r="AN87" s="117"/>
      <c r="AO87" s="120"/>
      <c r="AP87" s="120"/>
      <c r="AQ87" s="120"/>
      <c r="AR87" s="120"/>
      <c r="AS87" s="120"/>
      <c r="AT87" s="120"/>
      <c r="AU87" s="132"/>
      <c r="AV87" s="132"/>
      <c r="AW87" s="25"/>
      <c r="AX87" s="25"/>
      <c r="AY87" s="25"/>
      <c r="AZ87" s="25"/>
      <c r="BA87" s="25"/>
      <c r="BB87" s="25"/>
      <c r="BC87" s="17"/>
      <c r="BD87" s="13"/>
      <c r="BE87" s="13"/>
      <c r="BF87" s="13"/>
      <c r="BG87" s="75"/>
      <c r="BH87" s="75"/>
      <c r="BI87" s="75"/>
      <c r="BJ87" s="75"/>
      <c r="BK87" s="75"/>
      <c r="BL87" s="75"/>
      <c r="BM87" s="117"/>
      <c r="BN87" s="117"/>
      <c r="BO87" s="117"/>
      <c r="BP87" s="117"/>
      <c r="BQ87" s="117"/>
      <c r="BR87" s="117"/>
      <c r="BS87" s="120"/>
      <c r="BT87" s="120"/>
      <c r="BU87" s="120"/>
      <c r="BV87" s="120"/>
      <c r="BW87" s="120"/>
      <c r="BX87" s="120"/>
      <c r="BY87" s="132"/>
      <c r="BZ87" s="132"/>
      <c r="CA87" s="13"/>
      <c r="CB87" s="13"/>
      <c r="CC87" s="13"/>
      <c r="CD87" s="13"/>
      <c r="CE87" s="25"/>
      <c r="CF87" s="18"/>
    </row>
    <row r="88" spans="1:84" s="16" customFormat="1" x14ac:dyDescent="0.25">
      <c r="A88" s="17"/>
      <c r="B88" s="25"/>
      <c r="C88" s="25"/>
      <c r="D88" s="25"/>
      <c r="E88" s="18"/>
      <c r="F88" s="25"/>
      <c r="G88" s="25"/>
      <c r="H88" s="18"/>
      <c r="I88" s="17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18"/>
      <c r="Y88" s="17"/>
      <c r="Z88" s="25"/>
      <c r="AA88" s="25"/>
      <c r="AB88" s="25"/>
      <c r="AC88" s="75"/>
      <c r="AD88" s="75"/>
      <c r="AE88" s="75"/>
      <c r="AF88" s="75"/>
      <c r="AG88" s="75"/>
      <c r="AH88" s="75"/>
      <c r="AI88" s="117"/>
      <c r="AJ88" s="117"/>
      <c r="AK88" s="117"/>
      <c r="AL88" s="117"/>
      <c r="AM88" s="117"/>
      <c r="AN88" s="117"/>
      <c r="AO88" s="120"/>
      <c r="AP88" s="120"/>
      <c r="AQ88" s="120"/>
      <c r="AR88" s="120"/>
      <c r="AS88" s="120"/>
      <c r="AT88" s="120"/>
      <c r="AU88" s="132"/>
      <c r="AV88" s="132"/>
      <c r="AW88" s="25"/>
      <c r="AX88" s="25"/>
      <c r="AY88" s="25"/>
      <c r="AZ88" s="25"/>
      <c r="BA88" s="25"/>
      <c r="BB88" s="25"/>
      <c r="BC88" s="17"/>
      <c r="BD88" s="13"/>
      <c r="BE88" s="13"/>
      <c r="BF88" s="13"/>
      <c r="BG88" s="75"/>
      <c r="BH88" s="75"/>
      <c r="BI88" s="75"/>
      <c r="BJ88" s="75"/>
      <c r="BK88" s="75"/>
      <c r="BL88" s="75"/>
      <c r="BM88" s="117"/>
      <c r="BN88" s="117"/>
      <c r="BO88" s="117"/>
      <c r="BP88" s="117"/>
      <c r="BQ88" s="117"/>
      <c r="BR88" s="117"/>
      <c r="BS88" s="120"/>
      <c r="BT88" s="120"/>
      <c r="BU88" s="120"/>
      <c r="BV88" s="120"/>
      <c r="BW88" s="120"/>
      <c r="BX88" s="120"/>
      <c r="BY88" s="132"/>
      <c r="BZ88" s="132"/>
      <c r="CA88" s="13"/>
      <c r="CB88" s="13"/>
      <c r="CC88" s="13"/>
      <c r="CD88" s="13"/>
      <c r="CE88" s="25"/>
      <c r="CF88" s="18"/>
    </row>
    <row r="89" spans="1:84" s="16" customFormat="1" x14ac:dyDescent="0.25">
      <c r="A89" s="17"/>
      <c r="B89" s="25"/>
      <c r="C89" s="25"/>
      <c r="D89" s="25"/>
      <c r="E89" s="18"/>
      <c r="F89" s="25"/>
      <c r="G89" s="25"/>
      <c r="H89" s="18"/>
      <c r="I89" s="17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18"/>
      <c r="Y89" s="17"/>
      <c r="Z89" s="25"/>
      <c r="AA89" s="25"/>
      <c r="AB89" s="25"/>
      <c r="AC89" s="75"/>
      <c r="AD89" s="75"/>
      <c r="AE89" s="75"/>
      <c r="AF89" s="75"/>
      <c r="AG89" s="75"/>
      <c r="AH89" s="75"/>
      <c r="AI89" s="117"/>
      <c r="AJ89" s="117"/>
      <c r="AK89" s="117"/>
      <c r="AL89" s="117"/>
      <c r="AM89" s="117"/>
      <c r="AN89" s="117"/>
      <c r="AO89" s="120"/>
      <c r="AP89" s="120"/>
      <c r="AQ89" s="120"/>
      <c r="AR89" s="120"/>
      <c r="AS89" s="120"/>
      <c r="AT89" s="120"/>
      <c r="AU89" s="132"/>
      <c r="AV89" s="132"/>
      <c r="AW89" s="25"/>
      <c r="AX89" s="25"/>
      <c r="AY89" s="25"/>
      <c r="AZ89" s="25"/>
      <c r="BA89" s="25"/>
      <c r="BB89" s="25"/>
      <c r="BC89" s="17"/>
      <c r="BD89" s="13"/>
      <c r="BE89" s="13"/>
      <c r="BF89" s="13"/>
      <c r="BG89" s="75"/>
      <c r="BH89" s="75"/>
      <c r="BI89" s="75"/>
      <c r="BJ89" s="75"/>
      <c r="BK89" s="75"/>
      <c r="BL89" s="75"/>
      <c r="BM89" s="117"/>
      <c r="BN89" s="117"/>
      <c r="BO89" s="117"/>
      <c r="BP89" s="117"/>
      <c r="BQ89" s="117"/>
      <c r="BR89" s="117"/>
      <c r="BS89" s="120"/>
      <c r="BT89" s="120"/>
      <c r="BU89" s="120"/>
      <c r="BV89" s="120"/>
      <c r="BW89" s="120"/>
      <c r="BX89" s="120"/>
      <c r="BY89" s="132"/>
      <c r="BZ89" s="132"/>
      <c r="CA89" s="13"/>
      <c r="CB89" s="13"/>
      <c r="CC89" s="13"/>
      <c r="CD89" s="13"/>
      <c r="CE89" s="25"/>
      <c r="CF89" s="18"/>
    </row>
    <row r="90" spans="1:84" s="16" customFormat="1" x14ac:dyDescent="0.25">
      <c r="A90" s="43"/>
      <c r="B90" s="44"/>
      <c r="C90" s="44"/>
      <c r="D90" s="44"/>
      <c r="E90" s="45">
        <f>SUM(E82:E89)</f>
        <v>1</v>
      </c>
      <c r="F90" s="44"/>
      <c r="G90" s="44"/>
      <c r="H90" s="44">
        <f>SUM(H82:H89)</f>
        <v>1</v>
      </c>
      <c r="I90" s="43"/>
      <c r="J90" s="44"/>
      <c r="K90" s="44"/>
      <c r="L90" s="44">
        <f>IF(SUM(L82:L89)&gt;=1,1,0)</f>
        <v>1</v>
      </c>
      <c r="M90" s="44"/>
      <c r="N90" s="44"/>
      <c r="O90" s="44">
        <f>IF(SUM(O82:O89)&gt;=1,1,0)</f>
        <v>1</v>
      </c>
      <c r="P90" s="44"/>
      <c r="Q90" s="44"/>
      <c r="R90" s="44">
        <f>IF(SUM(R82:R89)&gt;=1,1,0)</f>
        <v>1</v>
      </c>
      <c r="S90" s="44"/>
      <c r="T90" s="44"/>
      <c r="U90" s="44">
        <f>IF(SUM(U82:U89)&gt;=1,1,0)</f>
        <v>1</v>
      </c>
      <c r="V90" s="44">
        <f>IF(SUM(V82:V89)&gt;=1,1,0)</f>
        <v>1</v>
      </c>
      <c r="W90" s="44"/>
      <c r="X90" s="45"/>
      <c r="Y90" s="43"/>
      <c r="Z90" s="44"/>
      <c r="AA90" s="44"/>
      <c r="AB90" s="44">
        <f>IF(SUM(AB83:AB89)&gt;=1,1,0)</f>
        <v>1</v>
      </c>
      <c r="AC90" s="114"/>
      <c r="AD90" s="114"/>
      <c r="AE90" s="114">
        <f>IF(SUM(AE83:AE89)&gt;=1,1,0)</f>
        <v>1</v>
      </c>
      <c r="AF90" s="114"/>
      <c r="AG90" s="114"/>
      <c r="AH90" s="114">
        <f>IF(SUM(AH83:AH89)&gt;=1,1,0)</f>
        <v>0</v>
      </c>
      <c r="AI90" s="118"/>
      <c r="AJ90" s="118"/>
      <c r="AK90" s="118">
        <f>IF(SUM(AK83:AK89)&gt;=1,1,0)</f>
        <v>1</v>
      </c>
      <c r="AL90" s="118"/>
      <c r="AM90" s="118"/>
      <c r="AN90" s="118">
        <f>IF(SUM(AN83:AN89)&gt;=1,1,0)</f>
        <v>0</v>
      </c>
      <c r="AO90" s="121"/>
      <c r="AP90" s="121"/>
      <c r="AQ90" s="121">
        <f>IF(SUM(AQ83:AQ89)&gt;=1,1,0)</f>
        <v>1</v>
      </c>
      <c r="AR90" s="121"/>
      <c r="AS90" s="121"/>
      <c r="AT90" s="121">
        <f>IF(SUM(AT83:AT89)&gt;=1,1,0)</f>
        <v>0</v>
      </c>
      <c r="AU90" s="133">
        <f>IF(SUM(AU83:AU89)&gt;=1,1,0)</f>
        <v>0</v>
      </c>
      <c r="AV90" s="133">
        <f>IF(SUM(AV83:AV89)&gt;=1,1,0)</f>
        <v>0</v>
      </c>
      <c r="AW90" s="44"/>
      <c r="AX90" s="44"/>
      <c r="AY90" s="44">
        <f>IF(SUM(AY82:AY89)&gt;=1,1,0)</f>
        <v>1</v>
      </c>
      <c r="AZ90" s="44">
        <f>IF(SUM(AZ82:AZ89)&gt;=1,1,0)</f>
        <v>0</v>
      </c>
      <c r="BA90" s="44"/>
      <c r="BB90" s="44"/>
      <c r="BC90" s="43"/>
      <c r="BD90" s="61"/>
      <c r="BE90" s="61"/>
      <c r="BF90" s="61">
        <f>IF(SUM(BF82:BF89)&gt;=1,1,0)</f>
        <v>1</v>
      </c>
      <c r="BG90" s="114"/>
      <c r="BH90" s="114"/>
      <c r="BI90" s="114">
        <f>IF(SUM(BI83:BI89)&gt;=1,1,0)</f>
        <v>1</v>
      </c>
      <c r="BJ90" s="114"/>
      <c r="BK90" s="114"/>
      <c r="BL90" s="114">
        <f>IF(SUM(BL83:BL89)&gt;=1,1,0)</f>
        <v>0</v>
      </c>
      <c r="BM90" s="118"/>
      <c r="BN90" s="118"/>
      <c r="BO90" s="118">
        <f>IF(SUM(BO83:BO89)&gt;=1,1,0)</f>
        <v>1</v>
      </c>
      <c r="BP90" s="118"/>
      <c r="BQ90" s="118"/>
      <c r="BR90" s="118">
        <f>IF(SUM(BR83:BR89)&gt;=1,1,0)</f>
        <v>0</v>
      </c>
      <c r="BS90" s="121"/>
      <c r="BT90" s="121"/>
      <c r="BU90" s="121">
        <f>IF(SUM(BU83:BU89)&gt;=1,1,0)</f>
        <v>1</v>
      </c>
      <c r="BV90" s="121"/>
      <c r="BW90" s="121"/>
      <c r="BX90" s="121">
        <f>IF(SUM(BX83:BX89)&gt;=1,1,0)</f>
        <v>0</v>
      </c>
      <c r="BY90" s="133">
        <f>IF(SUM(BY83:BY89)&gt;=1,1,0)</f>
        <v>0</v>
      </c>
      <c r="BZ90" s="133">
        <f>IF(SUM(BZ83:BZ89)&gt;=1,1,0)</f>
        <v>0</v>
      </c>
      <c r="CA90" s="61"/>
      <c r="CB90" s="61"/>
      <c r="CC90" s="61">
        <f>IF(SUM(CC82:CC89)&gt;=1,1,0)</f>
        <v>1</v>
      </c>
      <c r="CD90" s="61">
        <f>IF(SUM(CD82:CD89)&gt;=1,1,0)</f>
        <v>0</v>
      </c>
      <c r="CE90" s="44"/>
      <c r="CF90" s="45"/>
    </row>
    <row r="91" spans="1:84" s="16" customFormat="1" x14ac:dyDescent="0.25"/>
    <row r="92" spans="1:84" s="16" customFormat="1" x14ac:dyDescent="0.25"/>
    <row r="93" spans="1:84" s="16" customFormat="1" x14ac:dyDescent="0.25">
      <c r="A93" s="54" t="s">
        <v>83</v>
      </c>
      <c r="I93" s="54" t="s">
        <v>83</v>
      </c>
      <c r="J93" s="54"/>
      <c r="K93" s="54"/>
      <c r="L93" s="54"/>
      <c r="Y93" s="54" t="s">
        <v>83</v>
      </c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BC93" s="54" t="s">
        <v>83</v>
      </c>
    </row>
    <row r="94" spans="1:84" s="16" customFormat="1" x14ac:dyDescent="0.25">
      <c r="A94" s="58" t="s">
        <v>254</v>
      </c>
      <c r="B94" s="59"/>
      <c r="C94" s="59"/>
      <c r="D94" s="59"/>
      <c r="E94" s="44"/>
      <c r="F94" s="44"/>
      <c r="G94" s="44"/>
      <c r="H94" s="45"/>
      <c r="I94" s="50" t="s">
        <v>248</v>
      </c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2"/>
      <c r="Y94" s="43" t="s">
        <v>235</v>
      </c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5"/>
      <c r="BC94" s="21" t="s">
        <v>242</v>
      </c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3"/>
    </row>
    <row r="95" spans="1:84" s="16" customFormat="1" x14ac:dyDescent="0.25">
      <c r="A95" s="21" t="s">
        <v>251</v>
      </c>
      <c r="B95" s="22" t="s">
        <v>252</v>
      </c>
      <c r="C95" s="22" t="s">
        <v>162</v>
      </c>
      <c r="D95" s="22" t="s">
        <v>3</v>
      </c>
      <c r="E95" s="23" t="s">
        <v>261</v>
      </c>
      <c r="F95" s="25" t="s">
        <v>255</v>
      </c>
      <c r="G95" s="25" t="s">
        <v>256</v>
      </c>
      <c r="H95" s="18" t="s">
        <v>262</v>
      </c>
      <c r="I95" s="55" t="s">
        <v>231</v>
      </c>
      <c r="J95" s="56" t="s">
        <v>236</v>
      </c>
      <c r="K95" s="56" t="s">
        <v>237</v>
      </c>
      <c r="L95" s="56" t="s">
        <v>238</v>
      </c>
      <c r="M95" s="56" t="s">
        <v>232</v>
      </c>
      <c r="N95" s="56" t="s">
        <v>233</v>
      </c>
      <c r="O95" s="56" t="s">
        <v>234</v>
      </c>
      <c r="P95" s="56" t="s">
        <v>486</v>
      </c>
      <c r="Q95" s="56" t="s">
        <v>487</v>
      </c>
      <c r="R95" s="56" t="s">
        <v>488</v>
      </c>
      <c r="S95" s="56" t="s">
        <v>239</v>
      </c>
      <c r="T95" s="56" t="s">
        <v>240</v>
      </c>
      <c r="U95" s="56" t="s">
        <v>241</v>
      </c>
      <c r="V95" s="56" t="s">
        <v>202</v>
      </c>
      <c r="W95" s="56" t="s">
        <v>246</v>
      </c>
      <c r="X95" s="57" t="s">
        <v>247</v>
      </c>
      <c r="AC95" s="126" t="s">
        <v>105</v>
      </c>
      <c r="AD95" s="75"/>
      <c r="AE95" s="75"/>
      <c r="AF95" s="75"/>
      <c r="AG95" s="75"/>
      <c r="AH95" s="75"/>
      <c r="AI95" s="127" t="s">
        <v>7</v>
      </c>
      <c r="AJ95" s="104"/>
      <c r="AK95" s="104"/>
      <c r="AL95" s="104"/>
      <c r="AM95" s="104"/>
      <c r="AN95" s="104"/>
      <c r="AO95" s="128" t="s">
        <v>45</v>
      </c>
      <c r="AP95" s="129"/>
      <c r="AQ95" s="119"/>
      <c r="AR95" s="119"/>
      <c r="AS95" s="119"/>
      <c r="AT95" s="119"/>
      <c r="AU95" s="115" t="s">
        <v>514</v>
      </c>
      <c r="AV95" s="115"/>
      <c r="BC95" s="55"/>
      <c r="BD95" s="56"/>
      <c r="BE95" s="56"/>
      <c r="BF95" s="56"/>
      <c r="BG95" s="126" t="s">
        <v>105</v>
      </c>
      <c r="BH95" s="75"/>
      <c r="BI95" s="75"/>
      <c r="BJ95" s="75"/>
      <c r="BK95" s="75"/>
      <c r="BL95" s="75"/>
      <c r="BM95" s="127" t="s">
        <v>7</v>
      </c>
      <c r="BN95" s="104"/>
      <c r="BO95" s="104"/>
      <c r="BP95" s="104"/>
      <c r="BQ95" s="104"/>
      <c r="BR95" s="104"/>
      <c r="BS95" s="128" t="s">
        <v>45</v>
      </c>
      <c r="BT95" s="129"/>
      <c r="BU95" s="119"/>
      <c r="BV95" s="119"/>
      <c r="BW95" s="119"/>
      <c r="BX95" s="119"/>
      <c r="BY95" s="115" t="s">
        <v>514</v>
      </c>
      <c r="BZ95" s="115"/>
      <c r="CA95" s="56"/>
      <c r="CB95" s="56"/>
      <c r="CC95" s="56"/>
      <c r="CD95" s="56"/>
      <c r="CE95" s="56"/>
      <c r="CF95" s="57"/>
    </row>
    <row r="96" spans="1:84" s="16" customFormat="1" x14ac:dyDescent="0.25">
      <c r="A96" s="35">
        <v>15</v>
      </c>
      <c r="B96" s="34">
        <v>41</v>
      </c>
      <c r="C96" s="25" t="s">
        <v>87</v>
      </c>
      <c r="D96" s="25" t="s">
        <v>87</v>
      </c>
      <c r="E96" s="18">
        <f>IF(AND($B$16&gt;=Criteria!A96,$B$16&lt;=Criteria!B96),1,0)</f>
        <v>1</v>
      </c>
      <c r="F96" s="16">
        <v>5</v>
      </c>
      <c r="G96" s="16">
        <v>16</v>
      </c>
      <c r="H96" s="18">
        <f>IF(AND($B$15&gt;=F96,$B$15&lt;=G96),1,0)</f>
        <v>1</v>
      </c>
      <c r="I96" s="17" t="s">
        <v>176</v>
      </c>
      <c r="J96" s="25">
        <v>0</v>
      </c>
      <c r="K96" s="25">
        <v>90.5</v>
      </c>
      <c r="L96" s="25">
        <f>IF(AND($B$18&gt;=J96,$B$18&lt;=K96),1,0)</f>
        <v>1</v>
      </c>
      <c r="M96" s="34">
        <v>16</v>
      </c>
      <c r="N96" s="34">
        <v>64</v>
      </c>
      <c r="O96" s="25">
        <f>IF(AND($B$14&gt;=M96,$B$14&lt;=N96),1,0)</f>
        <v>1</v>
      </c>
      <c r="P96" s="34">
        <v>53</v>
      </c>
      <c r="Q96" s="34">
        <v>85</v>
      </c>
      <c r="R96" s="25">
        <f>IF(AND(Q96="NA",K96&lt;&gt;"NA"),L96,IF(AND($B$13&gt;=P96,$B$13&lt;=Q96),1,0))</f>
        <v>1</v>
      </c>
      <c r="S96" s="25">
        <v>0</v>
      </c>
      <c r="T96" s="25">
        <v>4</v>
      </c>
      <c r="U96" s="25">
        <f>IF(AND($B$17&gt;=S96,$B$17&lt;=T96),1,0)</f>
        <v>1</v>
      </c>
      <c r="V96" s="25">
        <f>IF(AND(IF(L96="NA",1,L96)=1,IF(O96="NA",1,O96)=1,IF(R96="NA",1,R96)=1,IF(U96="NA",1,U96)=1),1,0)</f>
        <v>1</v>
      </c>
      <c r="W96" s="25">
        <v>1</v>
      </c>
      <c r="X96" s="18">
        <f>IF(V96=1,W96,"NA")</f>
        <v>1</v>
      </c>
      <c r="Y96" s="35" t="s">
        <v>231</v>
      </c>
      <c r="Z96" s="34" t="s">
        <v>236</v>
      </c>
      <c r="AA96" s="34" t="s">
        <v>237</v>
      </c>
      <c r="AB96" s="34" t="s">
        <v>238</v>
      </c>
      <c r="AC96" s="75" t="s">
        <v>232</v>
      </c>
      <c r="AD96" s="75" t="s">
        <v>233</v>
      </c>
      <c r="AE96" s="75" t="s">
        <v>234</v>
      </c>
      <c r="AF96" s="75" t="s">
        <v>486</v>
      </c>
      <c r="AG96" s="75" t="s">
        <v>487</v>
      </c>
      <c r="AH96" s="75" t="s">
        <v>488</v>
      </c>
      <c r="AI96" s="117" t="s">
        <v>232</v>
      </c>
      <c r="AJ96" s="117" t="s">
        <v>233</v>
      </c>
      <c r="AK96" s="117" t="s">
        <v>234</v>
      </c>
      <c r="AL96" s="117" t="s">
        <v>486</v>
      </c>
      <c r="AM96" s="117" t="s">
        <v>487</v>
      </c>
      <c r="AN96" s="117" t="s">
        <v>488</v>
      </c>
      <c r="AO96" s="120" t="s">
        <v>232</v>
      </c>
      <c r="AP96" s="120" t="s">
        <v>233</v>
      </c>
      <c r="AQ96" s="120" t="s">
        <v>234</v>
      </c>
      <c r="AR96" s="120" t="s">
        <v>486</v>
      </c>
      <c r="AS96" s="120" t="s">
        <v>487</v>
      </c>
      <c r="AT96" s="120" t="s">
        <v>488</v>
      </c>
      <c r="AU96" s="116" t="s">
        <v>234</v>
      </c>
      <c r="AV96" s="116" t="s">
        <v>488</v>
      </c>
      <c r="AW96" s="34" t="s">
        <v>239</v>
      </c>
      <c r="AX96" s="34" t="s">
        <v>240</v>
      </c>
      <c r="AY96" s="34" t="s">
        <v>241</v>
      </c>
      <c r="AZ96" s="34" t="s">
        <v>202</v>
      </c>
      <c r="BA96" s="34" t="s">
        <v>246</v>
      </c>
      <c r="BB96" s="34" t="s">
        <v>247</v>
      </c>
      <c r="BC96" s="17" t="s">
        <v>231</v>
      </c>
      <c r="BD96" s="13" t="s">
        <v>243</v>
      </c>
      <c r="BE96" s="13" t="s">
        <v>244</v>
      </c>
      <c r="BF96" s="13" t="s">
        <v>245</v>
      </c>
      <c r="BG96" s="75" t="s">
        <v>232</v>
      </c>
      <c r="BH96" s="75" t="s">
        <v>233</v>
      </c>
      <c r="BI96" s="75" t="s">
        <v>234</v>
      </c>
      <c r="BJ96" s="75" t="s">
        <v>486</v>
      </c>
      <c r="BK96" s="75" t="s">
        <v>487</v>
      </c>
      <c r="BL96" s="75" t="s">
        <v>488</v>
      </c>
      <c r="BM96" s="117" t="s">
        <v>232</v>
      </c>
      <c r="BN96" s="117" t="s">
        <v>233</v>
      </c>
      <c r="BO96" s="117" t="s">
        <v>234</v>
      </c>
      <c r="BP96" s="117" t="s">
        <v>486</v>
      </c>
      <c r="BQ96" s="117" t="s">
        <v>487</v>
      </c>
      <c r="BR96" s="117" t="s">
        <v>488</v>
      </c>
      <c r="BS96" s="120" t="s">
        <v>232</v>
      </c>
      <c r="BT96" s="120" t="s">
        <v>233</v>
      </c>
      <c r="BU96" s="120" t="s">
        <v>234</v>
      </c>
      <c r="BV96" s="120" t="s">
        <v>486</v>
      </c>
      <c r="BW96" s="120" t="s">
        <v>487</v>
      </c>
      <c r="BX96" s="120" t="s">
        <v>488</v>
      </c>
      <c r="BY96" s="116" t="s">
        <v>234</v>
      </c>
      <c r="BZ96" s="116" t="s">
        <v>488</v>
      </c>
      <c r="CA96" s="13" t="s">
        <v>239</v>
      </c>
      <c r="CB96" s="13" t="s">
        <v>240</v>
      </c>
      <c r="CC96" s="13" t="s">
        <v>241</v>
      </c>
      <c r="CD96" s="13" t="s">
        <v>202</v>
      </c>
      <c r="CE96" s="25" t="s">
        <v>246</v>
      </c>
      <c r="CF96" s="60" t="s">
        <v>247</v>
      </c>
    </row>
    <row r="97" spans="1:84" s="16" customFormat="1" x14ac:dyDescent="0.25">
      <c r="A97" s="17"/>
      <c r="B97" s="25"/>
      <c r="C97" s="25"/>
      <c r="D97" s="25"/>
      <c r="E97" s="18"/>
      <c r="H97" s="18"/>
      <c r="I97" s="17" t="s">
        <v>177</v>
      </c>
      <c r="J97" s="25">
        <v>0</v>
      </c>
      <c r="K97" s="25">
        <v>90.5</v>
      </c>
      <c r="L97" s="25">
        <f>IF(AND($B$18&gt;=J97,$B$18&lt;=K97),1,0)</f>
        <v>1</v>
      </c>
      <c r="M97" s="34">
        <v>16</v>
      </c>
      <c r="N97" s="34">
        <v>85</v>
      </c>
      <c r="O97" s="25">
        <f>IF(AND($B$14&gt;=M97,$B$14&lt;=N97),1,0)</f>
        <v>1</v>
      </c>
      <c r="P97" s="34">
        <v>86</v>
      </c>
      <c r="Q97" s="34">
        <v>107</v>
      </c>
      <c r="R97" s="25">
        <f>IF(AND(Q97="NA",K97&lt;&gt;"NA"),L97,IF(AND($B$13&gt;=P97,$B$13&lt;=Q97),1,0))</f>
        <v>0</v>
      </c>
      <c r="S97" s="25">
        <v>0</v>
      </c>
      <c r="T97" s="25">
        <v>4</v>
      </c>
      <c r="U97" s="25">
        <f>IF(AND($B$17&gt;=S97,$B$17&lt;=T97),1,0)</f>
        <v>1</v>
      </c>
      <c r="V97" s="25">
        <f>IF(AND(IF(L97="NA",1,L97)=1,IF(O97="NA",1,O97)=1,IF(R97="NA",1,R97)=1,IF(U97="NA",1,U97)=1),1,0)</f>
        <v>0</v>
      </c>
      <c r="W97" s="25">
        <v>2</v>
      </c>
      <c r="X97" s="18" t="str">
        <f>IF(V97=1,W97,"NA")</f>
        <v>NA</v>
      </c>
      <c r="Y97" s="17" t="s">
        <v>280</v>
      </c>
      <c r="Z97" s="25">
        <v>0</v>
      </c>
      <c r="AA97" s="25">
        <v>54</v>
      </c>
      <c r="AB97" s="13">
        <f>IF(AA97="NA",1,IF(AND($B$18&gt;=Z97,$B$18&lt;=AA97),1,0))</f>
        <v>0</v>
      </c>
      <c r="AC97" s="122">
        <v>0</v>
      </c>
      <c r="AD97" s="122">
        <f>IF($B$13-6.5&gt;AG97-6.5,AG97-6.5,$B$13-6.5)</f>
        <v>46.5</v>
      </c>
      <c r="AE97" s="122">
        <f>IF(AD97="NA",1,IF(AND($B$14&gt;=AC97,$B$14&lt;=AD97),1,0))</f>
        <v>0</v>
      </c>
      <c r="AF97" s="75">
        <v>0</v>
      </c>
      <c r="AG97" s="75">
        <v>53</v>
      </c>
      <c r="AH97" s="75">
        <f>IF(AND($B$13&gt;=AF97,$B$13&lt;=AG97),1,0)</f>
        <v>0</v>
      </c>
      <c r="AI97" s="117">
        <v>0</v>
      </c>
      <c r="AJ97" s="117">
        <f>IF($B$13-9.7&gt;AM97-9.7,AM97-9.7,$B$13-9.7)</f>
        <v>40.299999999999997</v>
      </c>
      <c r="AK97" s="117">
        <f>IF(AJ97="NA",1,IF(AND($B$14&gt;=AI97,$B$14&lt;=AJ97),1,0))</f>
        <v>0</v>
      </c>
      <c r="AL97" s="117">
        <v>0</v>
      </c>
      <c r="AM97" s="117">
        <v>50</v>
      </c>
      <c r="AN97" s="130">
        <f>IF(AM97="NA",1,IF(AND($B$13&gt;=AL97,$B$13&lt;=AM97),1,0))</f>
        <v>0</v>
      </c>
      <c r="AO97" s="120">
        <v>0</v>
      </c>
      <c r="AP97" s="120">
        <f>IF($B$13-11&gt;AS97-11,AS97-11,$B$13-11)</f>
        <v>38</v>
      </c>
      <c r="AQ97" s="120">
        <f>IF(AP97="NA",1,IF(AND($B$14&gt;=AO97,$B$14&lt;=AP97),1,0))</f>
        <v>0</v>
      </c>
      <c r="AR97" s="120">
        <v>0</v>
      </c>
      <c r="AS97" s="120">
        <v>49</v>
      </c>
      <c r="AT97" s="120">
        <f>IF(AS97="NA",1,IF(AND($B$13&gt;=AR97,$B$13&lt;=AS97),1,0))</f>
        <v>0</v>
      </c>
      <c r="AU97" s="132" t="str">
        <f>IF($C$22="M3",AE97,IF($C$22="M4",AK97,IF($C$22="M5",AQ97,"???")))</f>
        <v>???</v>
      </c>
      <c r="AV97" s="132" t="str">
        <f>IF($C$22="M3",AH97,IF($C$22="M4",AN97,IF($C$22="M5",AT97,"???")))</f>
        <v>???</v>
      </c>
      <c r="AW97" s="25">
        <v>0</v>
      </c>
      <c r="AX97" s="25">
        <v>4</v>
      </c>
      <c r="AY97" s="25">
        <f>IF(AND($B$17&gt;=AW97,$B$17&lt;=AX97),1,0)</f>
        <v>1</v>
      </c>
      <c r="AZ97" s="25">
        <f>IF(AND(IF(AB97="NA",1,AB97)=1,IF(AU97="NA",1,AU97)=1,IF(AV97="NA",1,AV97)=1,IF(AY97="NA",1,AY97)=1),1,0)</f>
        <v>0</v>
      </c>
      <c r="BA97" s="25">
        <v>1</v>
      </c>
      <c r="BB97" s="13" t="str">
        <f>IF(AZ97=1,BA97,"NA")</f>
        <v>NA</v>
      </c>
      <c r="BC97" s="17" t="s">
        <v>280</v>
      </c>
      <c r="BD97" s="13">
        <v>0</v>
      </c>
      <c r="BE97" s="13">
        <v>70</v>
      </c>
      <c r="BF97" s="13">
        <f>IF(BE97="NA",1,IF(AND($B$18&gt;=BD97,$B$18&lt;=BE97),1,0))</f>
        <v>1</v>
      </c>
      <c r="BG97" s="122">
        <v>0</v>
      </c>
      <c r="BH97" s="122">
        <f>IF($B$13-6.5&gt;BK97-6.5,BK97-6.5,$B$13-6.5)</f>
        <v>46.5</v>
      </c>
      <c r="BI97" s="122">
        <f>IF(BH97="NA",1,IF(AND($B$14&gt;=BG97,$B$14&lt;=BH97),1,0))</f>
        <v>0</v>
      </c>
      <c r="BJ97" s="75">
        <v>0</v>
      </c>
      <c r="BK97" s="75">
        <v>53</v>
      </c>
      <c r="BL97" s="75">
        <f>IF(AND($B$13&gt;=BJ97,$B$13&lt;=BK97),1,0)</f>
        <v>0</v>
      </c>
      <c r="BM97" s="117">
        <v>0</v>
      </c>
      <c r="BN97" s="117">
        <f>IF($B$13-9.7&gt;BQ97-9.7,BQ97-9.7,$B$13-9.7)</f>
        <v>40.299999999999997</v>
      </c>
      <c r="BO97" s="117">
        <f>IF(BN97="NA",1,IF(AND($B$14&gt;=BM97,$B$14&lt;=BN97),1,0))</f>
        <v>0</v>
      </c>
      <c r="BP97" s="117">
        <v>0</v>
      </c>
      <c r="BQ97" s="117">
        <v>50</v>
      </c>
      <c r="BR97" s="130">
        <f>IF(BQ97="NA",1,IF(AND($B$13&gt;=BP97,$B$13&lt;=BQ97),1,0))</f>
        <v>0</v>
      </c>
      <c r="BS97" s="120">
        <v>0</v>
      </c>
      <c r="BT97" s="120">
        <f>IF($B$13-11&gt;BW97-11,BW97-11,$B$13-11)</f>
        <v>38</v>
      </c>
      <c r="BU97" s="120">
        <f>IF(BT97="NA",1,IF(AND($B$14&gt;=BS97,$B$14&lt;=BT97),1,0))</f>
        <v>0</v>
      </c>
      <c r="BV97" s="120">
        <v>0</v>
      </c>
      <c r="BW97" s="120">
        <v>49</v>
      </c>
      <c r="BX97" s="120">
        <f>IF(BW97="NA",1,IF(AND($B$13&gt;=BV97,$B$13&lt;=BW97),1,0))</f>
        <v>0</v>
      </c>
      <c r="BY97" s="132" t="str">
        <f>IF($C$22="M3",BI97,IF($C$22="M4",BO97,IF($C$22="M5",BU97,"???")))</f>
        <v>???</v>
      </c>
      <c r="BZ97" s="132" t="str">
        <f>IF($C$22="M3",BL97,IF($C$22="M4",BR97,IF($C$22="M5",BX97,"???")))</f>
        <v>???</v>
      </c>
      <c r="CA97" s="13">
        <v>0</v>
      </c>
      <c r="CB97" s="13">
        <v>4</v>
      </c>
      <c r="CC97" s="13">
        <f>IF(AND($B$17&gt;=CA97,$B$17&lt;=CB97),1,0)</f>
        <v>1</v>
      </c>
      <c r="CD97" s="25">
        <f>IF(AND(IF(BF97="NA",1,BF97)=1,IF(BY97="NA",1,BY97)=1,IF(BZ97="NA",1,BZ97)=1,IF(CC97="NA",1,CC97)=1),1,0)</f>
        <v>0</v>
      </c>
      <c r="CE97" s="25">
        <v>1</v>
      </c>
      <c r="CF97" s="60" t="str">
        <f>IF(CD97=1,CE97,"NA")</f>
        <v>NA</v>
      </c>
    </row>
    <row r="98" spans="1:84" s="16" customFormat="1" x14ac:dyDescent="0.25">
      <c r="A98" s="17"/>
      <c r="B98" s="25"/>
      <c r="C98" s="25"/>
      <c r="D98" s="25"/>
      <c r="E98" s="18"/>
      <c r="F98" s="25"/>
      <c r="G98" s="25"/>
      <c r="H98" s="18"/>
      <c r="I98" s="17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18"/>
      <c r="Y98" s="17" t="s">
        <v>281</v>
      </c>
      <c r="Z98" s="25">
        <v>0</v>
      </c>
      <c r="AA98" s="25">
        <v>71</v>
      </c>
      <c r="AB98" s="13">
        <f>IF(AA98="NA",1,IF(AND($B$18&gt;=Z98,$B$18&lt;=AA98),1,0))</f>
        <v>1</v>
      </c>
      <c r="AC98" s="122">
        <v>0</v>
      </c>
      <c r="AD98" s="122">
        <f>IF($B$13-6.5&gt;AG98-6.5,AG98-6.5,$B$13-6.5)</f>
        <v>61.5</v>
      </c>
      <c r="AE98" s="122">
        <f>IF(AD98="NA",1,IF(AND($B$14&gt;=AC98,$B$14&lt;=AD98),1,0))</f>
        <v>1</v>
      </c>
      <c r="AF98" s="75">
        <v>0</v>
      </c>
      <c r="AG98" s="75">
        <v>68</v>
      </c>
      <c r="AH98" s="75">
        <f>IF(AND($B$13&gt;=AF98,$B$13&lt;=AG98),1,0)</f>
        <v>0</v>
      </c>
      <c r="AI98" s="117">
        <v>0</v>
      </c>
      <c r="AJ98" s="117">
        <f>IF($B$13-9.7&gt;AM98-9.7,AM98-9.7,$B$13-9.7)</f>
        <v>55.3</v>
      </c>
      <c r="AK98" s="117">
        <f>IF(AJ98="NA",1,IF(AND($B$14&gt;=AI98,$B$14&lt;=AJ98),1,0))</f>
        <v>0</v>
      </c>
      <c r="AL98" s="117">
        <v>0</v>
      </c>
      <c r="AM98" s="117">
        <v>65</v>
      </c>
      <c r="AN98" s="130">
        <f>IF(AM98="NA",1,IF(AND($B$13&gt;=AL98,$B$13&lt;=AM98),1,0))</f>
        <v>0</v>
      </c>
      <c r="AO98" s="120">
        <v>0</v>
      </c>
      <c r="AP98" s="120">
        <f>IF($B$13-11&gt;AS98-11,AS98-11,$B$13-11)</f>
        <v>53</v>
      </c>
      <c r="AQ98" s="120">
        <f>IF(AP98="NA",1,IF(AND($B$14&gt;=AO98,$B$14&lt;=AP98),1,0))</f>
        <v>0</v>
      </c>
      <c r="AR98" s="120">
        <v>0</v>
      </c>
      <c r="AS98" s="120">
        <v>64</v>
      </c>
      <c r="AT98" s="120">
        <f>IF(AS98="NA",1,IF(AND($B$13&gt;=AR98,$B$13&lt;=AS98),1,0))</f>
        <v>0</v>
      </c>
      <c r="AU98" s="132" t="str">
        <f>IF($C$22="M3",AE98,IF($C$22="M4",AK98,IF($C$22="M5",AQ98,"???")))</f>
        <v>???</v>
      </c>
      <c r="AV98" s="132" t="str">
        <f>IF($C$22="M3",AH98,IF($C$22="M4",AN98,IF($C$22="M5",AT98,"???")))</f>
        <v>???</v>
      </c>
      <c r="AW98" s="25">
        <v>0</v>
      </c>
      <c r="AX98" s="25">
        <v>4</v>
      </c>
      <c r="AY98" s="25">
        <f>IF(AND($B$17&gt;=AW98,$B$17&lt;=AX98),1,0)</f>
        <v>1</v>
      </c>
      <c r="AZ98" s="25">
        <f>IF(AND(IF(AB98="NA",1,AB98)=1,IF(AU98="NA",1,AU98)=1,IF(AV98="NA",1,AV98)=1,IF(AY98="NA",1,AY98)=1),1,0)</f>
        <v>0</v>
      </c>
      <c r="BA98" s="25">
        <v>3</v>
      </c>
      <c r="BB98" s="13" t="str">
        <f>IF(AZ98=1,BA98,"NA")</f>
        <v>NA</v>
      </c>
      <c r="BC98" s="17" t="s">
        <v>281</v>
      </c>
      <c r="BD98" s="25">
        <v>0</v>
      </c>
      <c r="BE98" s="25">
        <v>90</v>
      </c>
      <c r="BF98" s="13">
        <f>IF(BE98="NA",1,IF(AND($B$18&gt;=BD98,$B$18&lt;=BE98),1,0))</f>
        <v>1</v>
      </c>
      <c r="BG98" s="122">
        <v>0</v>
      </c>
      <c r="BH98" s="122">
        <f>IF($B$13-6.5&gt;BK98-6.5,BK98-6.5,$B$13-6.5)</f>
        <v>61.5</v>
      </c>
      <c r="BI98" s="122">
        <f>IF(BH98="NA",1,IF(AND($B$14&gt;=BG98,$B$14&lt;=BH98),1,0))</f>
        <v>1</v>
      </c>
      <c r="BJ98" s="75">
        <v>0</v>
      </c>
      <c r="BK98" s="75">
        <v>68</v>
      </c>
      <c r="BL98" s="75">
        <f>IF(AND($B$13&gt;=BJ98,$B$13&lt;=BK98),1,0)</f>
        <v>0</v>
      </c>
      <c r="BM98" s="117">
        <v>0</v>
      </c>
      <c r="BN98" s="117">
        <f>IF($B$13-9.7&gt;BQ98-9.7,BQ98-9.7,$B$13-9.7)</f>
        <v>55.3</v>
      </c>
      <c r="BO98" s="117">
        <f>IF(BN98="NA",1,IF(AND($B$14&gt;=BM98,$B$14&lt;=BN98),1,0))</f>
        <v>0</v>
      </c>
      <c r="BP98" s="117">
        <v>0</v>
      </c>
      <c r="BQ98" s="117">
        <v>65</v>
      </c>
      <c r="BR98" s="130">
        <f>IF(BQ98="NA",1,IF(AND($B$13&gt;=BP98,$B$13&lt;=BQ98),1,0))</f>
        <v>0</v>
      </c>
      <c r="BS98" s="120">
        <v>0</v>
      </c>
      <c r="BT98" s="120">
        <f>IF($B$13-11&gt;BW98-11,BW98-11,$B$13-11)</f>
        <v>53</v>
      </c>
      <c r="BU98" s="120">
        <f>IF(BT98="NA",1,IF(AND($B$14&gt;=BS98,$B$14&lt;=BT98),1,0))</f>
        <v>0</v>
      </c>
      <c r="BV98" s="120">
        <v>0</v>
      </c>
      <c r="BW98" s="120">
        <v>64</v>
      </c>
      <c r="BX98" s="120">
        <f>IF(BW98="NA",1,IF(AND($B$13&gt;=BV98,$B$13&lt;=BW98),1,0))</f>
        <v>0</v>
      </c>
      <c r="BY98" s="132" t="str">
        <f>IF($C$22="M3",BI98,IF($C$22="M4",BO98,IF($C$22="M5",BU98,"???")))</f>
        <v>???</v>
      </c>
      <c r="BZ98" s="132" t="str">
        <f>IF($C$22="M3",BL98,IF($C$22="M4",BR98,IF($C$22="M5",BX98,"???")))</f>
        <v>???</v>
      </c>
      <c r="CA98" s="34">
        <v>0</v>
      </c>
      <c r="CB98" s="34">
        <v>4</v>
      </c>
      <c r="CC98" s="13">
        <f>IF(AND($B$17&gt;=CA98,$B$17&lt;=CB98),1,0)</f>
        <v>1</v>
      </c>
      <c r="CD98" s="25">
        <f>IF(AND(IF(BF98="NA",1,BF98)=1,IF(BY98="NA",1,BY98)=1,IF(BZ98="NA",1,BZ98)=1,IF(CC98="NA",1,CC98)=1),1,0)</f>
        <v>0</v>
      </c>
      <c r="CE98" s="34">
        <v>3</v>
      </c>
      <c r="CF98" s="60" t="str">
        <f>IF(CD98=1,CE98,"NA")</f>
        <v>NA</v>
      </c>
    </row>
    <row r="99" spans="1:84" s="16" customFormat="1" x14ac:dyDescent="0.25">
      <c r="A99" s="17"/>
      <c r="B99" s="25"/>
      <c r="C99" s="25"/>
      <c r="D99" s="25"/>
      <c r="E99" s="18"/>
      <c r="F99" s="25"/>
      <c r="G99" s="25"/>
      <c r="H99" s="18"/>
      <c r="I99" s="17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18"/>
      <c r="Y99" s="34" t="s">
        <v>177</v>
      </c>
      <c r="Z99" s="12">
        <v>0</v>
      </c>
      <c r="AA99" s="12">
        <v>90.5</v>
      </c>
      <c r="AB99" s="13">
        <f>IF(AA99="NA",1,IF(AND($B$18&gt;=Z99,$B$18&lt;=AA99),1,0))</f>
        <v>1</v>
      </c>
      <c r="AC99" s="75">
        <v>16</v>
      </c>
      <c r="AD99" s="75">
        <v>74</v>
      </c>
      <c r="AE99" s="75">
        <f>IF(AND($B$14&gt;=AC99,$B$14&lt;=AD99),1,0)</f>
        <v>1</v>
      </c>
      <c r="AF99" s="75">
        <v>106</v>
      </c>
      <c r="AG99" s="75">
        <v>114</v>
      </c>
      <c r="AH99" s="75">
        <f>IF(AND(AG99="NA",AA99&lt;&gt;"NA"),AB99,IF(AND($B$13&gt;=AF99,$B$13&lt;=AG99),1,0))</f>
        <v>0</v>
      </c>
      <c r="AI99" s="117">
        <v>16</v>
      </c>
      <c r="AJ99" s="117">
        <v>74</v>
      </c>
      <c r="AK99" s="117">
        <f>IF(AND($B$14&gt;=AI99,$B$14&lt;=AJ99),1,0)</f>
        <v>1</v>
      </c>
      <c r="AL99" s="117">
        <v>106</v>
      </c>
      <c r="AM99" s="117">
        <v>114</v>
      </c>
      <c r="AN99" s="117">
        <f>IF(AND(AM99="NA",AG99&lt;&gt;"NA"),AH99,IF(AND($B$13&gt;=AL99,$B$13&lt;=AM99),1,0))</f>
        <v>0</v>
      </c>
      <c r="AO99" s="120">
        <v>16</v>
      </c>
      <c r="AP99" s="120">
        <v>74</v>
      </c>
      <c r="AQ99" s="120">
        <f>IF(AND($B$14&gt;=AO99,$B$14&lt;=AP99),1,0)</f>
        <v>1</v>
      </c>
      <c r="AR99" s="120">
        <v>106</v>
      </c>
      <c r="AS99" s="120">
        <v>114</v>
      </c>
      <c r="AT99" s="120">
        <f>IF(AND(AS99="NA",AM99&lt;&gt;"NA"),AN99,IF(AND($B$13&gt;=AR99,$B$13&lt;=AS99),1,0))</f>
        <v>0</v>
      </c>
      <c r="AU99" s="132" t="str">
        <f>IF($C$22="M3",AE99,IF($C$22="M4",AK99,IF($C$22="M5",AQ99,"???")))</f>
        <v>???</v>
      </c>
      <c r="AV99" s="132" t="str">
        <f>IF($C$22="M3",AH99,IF($C$22="M4",AN99,IF($C$22="M5",AT99,"???")))</f>
        <v>???</v>
      </c>
      <c r="AW99" s="34">
        <v>0</v>
      </c>
      <c r="AX99" s="34">
        <v>4</v>
      </c>
      <c r="AY99" s="25">
        <f>IF(AND($B$17&gt;=AW99,$B$17&lt;=AX99),1,0)</f>
        <v>1</v>
      </c>
      <c r="AZ99" s="25">
        <f>IF(AND(IF(AB99="NA",1,AB99)=1,IF(AU99="NA",1,AU99)=1,IF(AV99="NA",1,AV99)=1,IF(AY99="NA",1,AY99)=1),1,0)</f>
        <v>0</v>
      </c>
      <c r="BA99" s="16">
        <v>2</v>
      </c>
      <c r="BB99" s="13" t="str">
        <f>IF(AZ99=1,BA99,"NA")</f>
        <v>NA</v>
      </c>
      <c r="BC99" s="17" t="s">
        <v>177</v>
      </c>
      <c r="BD99" s="13">
        <v>0</v>
      </c>
      <c r="BE99" s="13">
        <v>90</v>
      </c>
      <c r="BF99" s="13">
        <f>IF(BE99="NA",1,IF(AND($B$18&gt;=BD99,$B$18&lt;=BE99),1,0))</f>
        <v>1</v>
      </c>
      <c r="BG99" s="75">
        <v>16</v>
      </c>
      <c r="BH99" s="75">
        <v>74</v>
      </c>
      <c r="BI99" s="75">
        <f>IF(AND($B$14&gt;=BG99,$B$14&lt;=BH99),1,0)</f>
        <v>1</v>
      </c>
      <c r="BJ99" s="75">
        <v>106</v>
      </c>
      <c r="BK99" s="75">
        <v>114</v>
      </c>
      <c r="BL99" s="75">
        <f>IF(AND(BK99="NA",BE99&lt;&gt;"NA"),BF99,IF(AND($B$13&gt;=BJ99,$B$13&lt;=BK99),1,0))</f>
        <v>0</v>
      </c>
      <c r="BM99" s="117">
        <v>16</v>
      </c>
      <c r="BN99" s="117">
        <v>74</v>
      </c>
      <c r="BO99" s="117">
        <f>IF(AND($B$14&gt;=BM99,$B$14&lt;=BN99),1,0)</f>
        <v>1</v>
      </c>
      <c r="BP99" s="117">
        <v>106</v>
      </c>
      <c r="BQ99" s="117">
        <v>114</v>
      </c>
      <c r="BR99" s="117">
        <f>IF(AND(BQ99="NA",BK99&lt;&gt;"NA"),BL99,IF(AND($B$13&gt;=BP99,$B$13&lt;=BQ99),1,0))</f>
        <v>0</v>
      </c>
      <c r="BS99" s="120">
        <v>16</v>
      </c>
      <c r="BT99" s="120">
        <v>74</v>
      </c>
      <c r="BU99" s="120">
        <f>IF(AND($B$14&gt;=BS99,$B$14&lt;=BT99),1,0)</f>
        <v>1</v>
      </c>
      <c r="BV99" s="120">
        <v>106</v>
      </c>
      <c r="BW99" s="120">
        <v>114</v>
      </c>
      <c r="BX99" s="120">
        <f>IF(AND(BW99="NA",BQ99&lt;&gt;"NA"),BR99,IF(AND($B$13&gt;=BV99,$B$13&lt;=BW99),1,0))</f>
        <v>0</v>
      </c>
      <c r="BY99" s="132" t="str">
        <f>IF($C$22="M3",BI99,IF($C$22="M4",BO99,IF($C$22="M5",BU99,"???")))</f>
        <v>???</v>
      </c>
      <c r="BZ99" s="132" t="str">
        <f>IF($C$22="M3",BL99,IF($C$22="M4",BR99,IF($C$22="M5",BX99,"???")))</f>
        <v>???</v>
      </c>
      <c r="CA99" s="13">
        <v>0</v>
      </c>
      <c r="CB99" s="13">
        <v>4</v>
      </c>
      <c r="CC99" s="13">
        <f>IF(AND($B$17&gt;=CA99,$B$17&lt;=CB99),1,0)</f>
        <v>1</v>
      </c>
      <c r="CD99" s="25">
        <f>IF(AND(IF(BF99="NA",1,BF99)=1,IF(BY99="NA",1,BY99)=1,IF(BZ99="NA",1,BZ99)=1,IF(CC99="NA",1,CC99)=1),1,0)</f>
        <v>0</v>
      </c>
      <c r="CE99" s="34">
        <v>2</v>
      </c>
      <c r="CF99" s="60" t="str">
        <f>IF(CD99=1,CE99,"NA")</f>
        <v>NA</v>
      </c>
    </row>
    <row r="100" spans="1:84" s="16" customFormat="1" x14ac:dyDescent="0.25">
      <c r="A100" s="17"/>
      <c r="B100" s="25"/>
      <c r="C100" s="25"/>
      <c r="D100" s="25"/>
      <c r="E100" s="18"/>
      <c r="F100" s="25"/>
      <c r="G100" s="25"/>
      <c r="H100" s="18"/>
      <c r="I100" s="17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18"/>
      <c r="Y100" s="17"/>
      <c r="Z100" s="25"/>
      <c r="AA100" s="25"/>
      <c r="AB100" s="25"/>
      <c r="AC100" s="75"/>
      <c r="AD100" s="75"/>
      <c r="AE100" s="75"/>
      <c r="AF100" s="75"/>
      <c r="AG100" s="75"/>
      <c r="AH100" s="75"/>
      <c r="AI100" s="117"/>
      <c r="AJ100" s="117"/>
      <c r="AK100" s="117"/>
      <c r="AL100" s="117"/>
      <c r="AM100" s="117"/>
      <c r="AN100" s="117"/>
      <c r="AO100" s="120"/>
      <c r="AP100" s="120"/>
      <c r="AQ100" s="120"/>
      <c r="AR100" s="120"/>
      <c r="AS100" s="120"/>
      <c r="AT100" s="120"/>
      <c r="AU100" s="132"/>
      <c r="AV100" s="132"/>
      <c r="AW100" s="25"/>
      <c r="AX100" s="25"/>
      <c r="AY100" s="25"/>
      <c r="AZ100" s="25"/>
      <c r="BA100" s="25"/>
      <c r="BB100" s="13"/>
      <c r="BC100" s="17"/>
      <c r="BD100" s="13"/>
      <c r="BE100" s="13"/>
      <c r="BF100" s="13"/>
      <c r="BG100" s="75"/>
      <c r="BH100" s="75"/>
      <c r="BI100" s="75"/>
      <c r="BJ100" s="75"/>
      <c r="BK100" s="75"/>
      <c r="BL100" s="75"/>
      <c r="BM100" s="117"/>
      <c r="BN100" s="117"/>
      <c r="BO100" s="117"/>
      <c r="BP100" s="117"/>
      <c r="BQ100" s="117"/>
      <c r="BR100" s="117"/>
      <c r="BS100" s="120"/>
      <c r="BT100" s="120"/>
      <c r="BU100" s="120"/>
      <c r="BV100" s="120"/>
      <c r="BW100" s="120"/>
      <c r="BX100" s="120"/>
      <c r="BY100" s="132"/>
      <c r="BZ100" s="132"/>
      <c r="CA100" s="13"/>
      <c r="CB100" s="13"/>
      <c r="CC100" s="13"/>
      <c r="CD100" s="13"/>
      <c r="CE100" s="25"/>
      <c r="CF100" s="18"/>
    </row>
    <row r="101" spans="1:84" s="16" customFormat="1" x14ac:dyDescent="0.25">
      <c r="A101" s="17"/>
      <c r="B101" s="25"/>
      <c r="C101" s="25"/>
      <c r="D101" s="25"/>
      <c r="E101" s="18"/>
      <c r="F101" s="25"/>
      <c r="G101" s="25"/>
      <c r="H101" s="18"/>
      <c r="I101" s="17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18"/>
      <c r="Y101" s="17"/>
      <c r="Z101" s="25"/>
      <c r="AA101" s="25"/>
      <c r="AB101" s="25"/>
      <c r="AC101" s="75"/>
      <c r="AD101" s="75"/>
      <c r="AE101" s="75"/>
      <c r="AF101" s="75"/>
      <c r="AG101" s="75"/>
      <c r="AH101" s="75"/>
      <c r="AI101" s="117"/>
      <c r="AJ101" s="117"/>
      <c r="AK101" s="117"/>
      <c r="AL101" s="117"/>
      <c r="AM101" s="117"/>
      <c r="AN101" s="117"/>
      <c r="AO101" s="120"/>
      <c r="AP101" s="120"/>
      <c r="AQ101" s="120"/>
      <c r="AR101" s="120"/>
      <c r="AS101" s="120"/>
      <c r="AT101" s="120"/>
      <c r="AU101" s="132"/>
      <c r="AV101" s="132"/>
      <c r="AW101" s="25"/>
      <c r="AX101" s="25"/>
      <c r="AY101" s="25"/>
      <c r="AZ101" s="25"/>
      <c r="BA101" s="25"/>
      <c r="BB101" s="13"/>
      <c r="BC101" s="17"/>
      <c r="BD101" s="13"/>
      <c r="BE101" s="13"/>
      <c r="BF101" s="13"/>
      <c r="BG101" s="75"/>
      <c r="BH101" s="75"/>
      <c r="BI101" s="75"/>
      <c r="BJ101" s="75"/>
      <c r="BK101" s="75"/>
      <c r="BL101" s="75"/>
      <c r="BM101" s="117"/>
      <c r="BN101" s="117"/>
      <c r="BO101" s="117"/>
      <c r="BP101" s="117"/>
      <c r="BQ101" s="117"/>
      <c r="BR101" s="117"/>
      <c r="BS101" s="120"/>
      <c r="BT101" s="120"/>
      <c r="BU101" s="120"/>
      <c r="BV101" s="120"/>
      <c r="BW101" s="120"/>
      <c r="BX101" s="120"/>
      <c r="BY101" s="132"/>
      <c r="BZ101" s="132"/>
      <c r="CA101" s="13"/>
      <c r="CB101" s="13"/>
      <c r="CC101" s="13"/>
      <c r="CD101" s="13"/>
      <c r="CE101" s="25"/>
      <c r="CF101" s="18"/>
    </row>
    <row r="102" spans="1:84" s="16" customFormat="1" x14ac:dyDescent="0.25">
      <c r="A102" s="17"/>
      <c r="B102" s="25"/>
      <c r="C102" s="25"/>
      <c r="D102" s="25"/>
      <c r="E102" s="18"/>
      <c r="F102" s="25"/>
      <c r="G102" s="25"/>
      <c r="H102" s="18"/>
      <c r="I102" s="17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18"/>
      <c r="Y102" s="17"/>
      <c r="Z102" s="25"/>
      <c r="AA102" s="25"/>
      <c r="AB102" s="25"/>
      <c r="AC102" s="75"/>
      <c r="AD102" s="75"/>
      <c r="AE102" s="75"/>
      <c r="AF102" s="75"/>
      <c r="AG102" s="75"/>
      <c r="AH102" s="75"/>
      <c r="AI102" s="117"/>
      <c r="AJ102" s="117"/>
      <c r="AK102" s="117"/>
      <c r="AL102" s="117"/>
      <c r="AM102" s="117"/>
      <c r="AN102" s="117"/>
      <c r="AO102" s="120"/>
      <c r="AP102" s="120"/>
      <c r="AQ102" s="120"/>
      <c r="AR102" s="120"/>
      <c r="AS102" s="120"/>
      <c r="AT102" s="120"/>
      <c r="AU102" s="132"/>
      <c r="AV102" s="132"/>
      <c r="AW102" s="25"/>
      <c r="AX102" s="25"/>
      <c r="AY102" s="25"/>
      <c r="AZ102" s="25"/>
      <c r="BA102" s="25"/>
      <c r="BB102" s="13"/>
      <c r="BC102" s="17"/>
      <c r="BD102" s="13"/>
      <c r="BE102" s="13"/>
      <c r="BF102" s="13"/>
      <c r="BG102" s="75"/>
      <c r="BH102" s="75"/>
      <c r="BI102" s="75"/>
      <c r="BJ102" s="75"/>
      <c r="BK102" s="75"/>
      <c r="BL102" s="75"/>
      <c r="BM102" s="117"/>
      <c r="BN102" s="117"/>
      <c r="BO102" s="117"/>
      <c r="BP102" s="117"/>
      <c r="BQ102" s="117"/>
      <c r="BR102" s="117"/>
      <c r="BS102" s="120"/>
      <c r="BT102" s="120"/>
      <c r="BU102" s="120"/>
      <c r="BV102" s="120"/>
      <c r="BW102" s="120"/>
      <c r="BX102" s="120"/>
      <c r="BY102" s="132"/>
      <c r="BZ102" s="132"/>
      <c r="CA102" s="13"/>
      <c r="CB102" s="13"/>
      <c r="CC102" s="13"/>
      <c r="CD102" s="13"/>
      <c r="CE102" s="25"/>
      <c r="CF102" s="18"/>
    </row>
    <row r="103" spans="1:84" s="16" customFormat="1" x14ac:dyDescent="0.25">
      <c r="A103" s="17"/>
      <c r="B103" s="25"/>
      <c r="C103" s="25"/>
      <c r="D103" s="25"/>
      <c r="E103" s="18"/>
      <c r="F103" s="25"/>
      <c r="G103" s="25"/>
      <c r="H103" s="18"/>
      <c r="I103" s="17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18"/>
      <c r="Y103" s="17"/>
      <c r="Z103" s="25"/>
      <c r="AA103" s="25"/>
      <c r="AB103" s="25"/>
      <c r="AC103" s="75"/>
      <c r="AD103" s="75"/>
      <c r="AE103" s="75"/>
      <c r="AF103" s="75"/>
      <c r="AG103" s="75"/>
      <c r="AH103" s="75"/>
      <c r="AI103" s="117"/>
      <c r="AJ103" s="117"/>
      <c r="AK103" s="117"/>
      <c r="AL103" s="117"/>
      <c r="AM103" s="117"/>
      <c r="AN103" s="117"/>
      <c r="AO103" s="120"/>
      <c r="AP103" s="120"/>
      <c r="AQ103" s="120"/>
      <c r="AR103" s="120"/>
      <c r="AS103" s="120"/>
      <c r="AT103" s="120"/>
      <c r="AU103" s="132"/>
      <c r="AV103" s="132"/>
      <c r="AW103" s="25"/>
      <c r="AX103" s="25"/>
      <c r="AY103" s="25"/>
      <c r="AZ103" s="25"/>
      <c r="BA103" s="25"/>
      <c r="BB103" s="13"/>
      <c r="BC103" s="17"/>
      <c r="BD103" s="13"/>
      <c r="BE103" s="13"/>
      <c r="BF103" s="13"/>
      <c r="BG103" s="75"/>
      <c r="BH103" s="75"/>
      <c r="BI103" s="75"/>
      <c r="BJ103" s="75"/>
      <c r="BK103" s="75"/>
      <c r="BL103" s="75"/>
      <c r="BM103" s="117"/>
      <c r="BN103" s="117"/>
      <c r="BO103" s="117"/>
      <c r="BP103" s="117"/>
      <c r="BQ103" s="117"/>
      <c r="BR103" s="117"/>
      <c r="BS103" s="120"/>
      <c r="BT103" s="120"/>
      <c r="BU103" s="120"/>
      <c r="BV103" s="120"/>
      <c r="BW103" s="120"/>
      <c r="BX103" s="120"/>
      <c r="BY103" s="132"/>
      <c r="BZ103" s="132"/>
      <c r="CA103" s="13"/>
      <c r="CB103" s="13"/>
      <c r="CC103" s="13"/>
      <c r="CD103" s="13"/>
      <c r="CE103" s="25"/>
      <c r="CF103" s="18"/>
    </row>
    <row r="104" spans="1:84" s="16" customFormat="1" x14ac:dyDescent="0.25">
      <c r="A104" s="43"/>
      <c r="B104" s="44"/>
      <c r="C104" s="44"/>
      <c r="D104" s="44"/>
      <c r="E104" s="45">
        <f>SUM(E96:E103)</f>
        <v>1</v>
      </c>
      <c r="F104" s="44"/>
      <c r="G104" s="44"/>
      <c r="H104" s="44">
        <f>SUM(H96:H103)</f>
        <v>1</v>
      </c>
      <c r="I104" s="43"/>
      <c r="J104" s="44"/>
      <c r="K104" s="44"/>
      <c r="L104" s="44">
        <f>IF(SUM(L96:L103)&gt;=1,1,0)</f>
        <v>1</v>
      </c>
      <c r="M104" s="44"/>
      <c r="N104" s="44"/>
      <c r="O104" s="44">
        <f>IF(SUM(O96:O103)&gt;=1,1,0)</f>
        <v>1</v>
      </c>
      <c r="P104" s="44"/>
      <c r="Q104" s="44"/>
      <c r="R104" s="44">
        <f>IF(SUM(R96:R103)&gt;=1,1,0)</f>
        <v>1</v>
      </c>
      <c r="S104" s="44"/>
      <c r="T104" s="44"/>
      <c r="U104" s="44">
        <f>IF(SUM(U96:U103)&gt;=1,1,0)</f>
        <v>1</v>
      </c>
      <c r="V104" s="44">
        <f>IF(SUM(V96:V103)&gt;=1,1,0)</f>
        <v>1</v>
      </c>
      <c r="W104" s="44"/>
      <c r="X104" s="45"/>
      <c r="Y104" s="43"/>
      <c r="Z104" s="44"/>
      <c r="AA104" s="44"/>
      <c r="AB104" s="44">
        <f>IF(SUM(AB97:AB103)&gt;=1,1,0)</f>
        <v>1</v>
      </c>
      <c r="AC104" s="114"/>
      <c r="AD104" s="114"/>
      <c r="AE104" s="114">
        <f>IF(SUM(AE97:AE103)&gt;=1,1,0)</f>
        <v>1</v>
      </c>
      <c r="AF104" s="114"/>
      <c r="AG104" s="114"/>
      <c r="AH104" s="114">
        <f>IF(SUM(AH97:AH103)&gt;=1,1,0)</f>
        <v>0</v>
      </c>
      <c r="AI104" s="118"/>
      <c r="AJ104" s="118"/>
      <c r="AK104" s="118">
        <f>IF(SUM(AK97:AK103)&gt;=1,1,0)</f>
        <v>1</v>
      </c>
      <c r="AL104" s="118"/>
      <c r="AM104" s="118"/>
      <c r="AN104" s="118">
        <f>IF(SUM(AN97:AN103)&gt;=1,1,0)</f>
        <v>0</v>
      </c>
      <c r="AO104" s="121"/>
      <c r="AP104" s="121"/>
      <c r="AQ104" s="121">
        <f>IF(SUM(AQ97:AQ103)&gt;=1,1,0)</f>
        <v>1</v>
      </c>
      <c r="AR104" s="121"/>
      <c r="AS104" s="121"/>
      <c r="AT104" s="121">
        <f>IF(SUM(AT97:AT103)&gt;=1,1,0)</f>
        <v>0</v>
      </c>
      <c r="AU104" s="133">
        <f>IF(SUM(AU97:AU103)&gt;=1,1,0)</f>
        <v>0</v>
      </c>
      <c r="AV104" s="133">
        <f>IF(SUM(AV97:AV103)&gt;=1,1,0)</f>
        <v>0</v>
      </c>
      <c r="AW104" s="44"/>
      <c r="AX104" s="44"/>
      <c r="AY104" s="44">
        <f>IF(SUM(AY97:AY103)&gt;=1,1,0)</f>
        <v>1</v>
      </c>
      <c r="AZ104" s="44">
        <f>IF(SUM(AZ97:AZ103)&gt;=1,1,0)</f>
        <v>0</v>
      </c>
      <c r="BA104" s="44"/>
      <c r="BB104" s="44"/>
      <c r="BC104" s="43"/>
      <c r="BD104" s="61"/>
      <c r="BE104" s="61"/>
      <c r="BF104" s="61">
        <f>IF(SUM(BF96:BF103)&gt;=1,1,0)</f>
        <v>1</v>
      </c>
      <c r="BG104" s="114"/>
      <c r="BH104" s="114"/>
      <c r="BI104" s="114">
        <f>IF(SUM(BI97:BI103)&gt;=1,1,0)</f>
        <v>1</v>
      </c>
      <c r="BJ104" s="114"/>
      <c r="BK104" s="114"/>
      <c r="BL104" s="114">
        <f>IF(SUM(BL97:BL103)&gt;=1,1,0)</f>
        <v>0</v>
      </c>
      <c r="BM104" s="118"/>
      <c r="BN104" s="118"/>
      <c r="BO104" s="118">
        <f>IF(SUM(BO97:BO103)&gt;=1,1,0)</f>
        <v>1</v>
      </c>
      <c r="BP104" s="118"/>
      <c r="BQ104" s="118"/>
      <c r="BR104" s="118">
        <f>IF(SUM(BR97:BR103)&gt;=1,1,0)</f>
        <v>0</v>
      </c>
      <c r="BS104" s="121"/>
      <c r="BT104" s="121"/>
      <c r="BU104" s="121">
        <f>IF(SUM(BU97:BU103)&gt;=1,1,0)</f>
        <v>1</v>
      </c>
      <c r="BV104" s="121"/>
      <c r="BW104" s="121"/>
      <c r="BX104" s="121">
        <f>IF(SUM(BX97:BX103)&gt;=1,1,0)</f>
        <v>0</v>
      </c>
      <c r="BY104" s="133">
        <f>IF(SUM(BY97:BY103)&gt;=1,1,0)</f>
        <v>0</v>
      </c>
      <c r="BZ104" s="133">
        <f>IF(SUM(BZ97:BZ103)&gt;=1,1,0)</f>
        <v>0</v>
      </c>
      <c r="CA104" s="61"/>
      <c r="CB104" s="61"/>
      <c r="CC104" s="61">
        <f>IF(SUM(CC96:CC103)&gt;=1,1,0)</f>
        <v>1</v>
      </c>
      <c r="CD104" s="61">
        <f>IF(SUM(CD96:CD103)&gt;=1,1,0)</f>
        <v>0</v>
      </c>
      <c r="CE104" s="44"/>
      <c r="CF104" s="45"/>
    </row>
    <row r="105" spans="1:84" s="16" customFormat="1" x14ac:dyDescent="0.25"/>
    <row r="108" spans="1:84" x14ac:dyDescent="0.25">
      <c r="A108" t="s">
        <v>196</v>
      </c>
    </row>
    <row r="110" spans="1:84" x14ac:dyDescent="0.25">
      <c r="A110" s="21" t="s">
        <v>17</v>
      </c>
      <c r="B110" s="22" t="s">
        <v>515</v>
      </c>
      <c r="C110" s="22" t="s">
        <v>100</v>
      </c>
      <c r="D110" s="22" t="s">
        <v>101</v>
      </c>
      <c r="E110" s="22" t="s">
        <v>174</v>
      </c>
      <c r="F110" s="56" t="s">
        <v>296</v>
      </c>
      <c r="G110" s="57" t="s">
        <v>197</v>
      </c>
    </row>
    <row r="111" spans="1:84" x14ac:dyDescent="0.25">
      <c r="A111" s="17" t="s">
        <v>102</v>
      </c>
      <c r="B111" s="13" t="s">
        <v>102</v>
      </c>
      <c r="C111" s="25">
        <v>1.7</v>
      </c>
      <c r="D111" s="25">
        <v>2</v>
      </c>
      <c r="E111" s="25">
        <v>2</v>
      </c>
      <c r="F111" s="25"/>
      <c r="G111" s="18">
        <f t="shared" ref="G111:G124" si="6">IF(AND($B$21&lt;C112,$B$21&gt;=C111),1,0)</f>
        <v>0</v>
      </c>
      <c r="Y111" s="34"/>
      <c r="Z111" s="93"/>
      <c r="AA111" s="93"/>
      <c r="AB111" s="25"/>
      <c r="AC111" s="103"/>
      <c r="AD111" s="34"/>
      <c r="AE111" s="25"/>
      <c r="AF111" s="103"/>
      <c r="AG111" s="103"/>
      <c r="AH111" s="25"/>
    </row>
    <row r="112" spans="1:84" x14ac:dyDescent="0.25">
      <c r="A112" s="17" t="s">
        <v>103</v>
      </c>
      <c r="B112" s="13" t="s">
        <v>103</v>
      </c>
      <c r="C112" s="25">
        <v>2.2000000000000002</v>
      </c>
      <c r="D112" s="25">
        <v>2.6</v>
      </c>
      <c r="E112" s="25">
        <v>2.6</v>
      </c>
      <c r="F112" s="25"/>
      <c r="G112" s="18">
        <f t="shared" si="6"/>
        <v>0</v>
      </c>
    </row>
    <row r="113" spans="1:35" x14ac:dyDescent="0.25">
      <c r="A113" s="17" t="s">
        <v>104</v>
      </c>
      <c r="B113" s="13" t="s">
        <v>104</v>
      </c>
      <c r="C113" s="25">
        <v>2.7</v>
      </c>
      <c r="D113" s="25">
        <v>3.1</v>
      </c>
      <c r="E113" s="25">
        <v>3.1</v>
      </c>
      <c r="F113" s="25"/>
      <c r="G113" s="18">
        <f t="shared" si="6"/>
        <v>0</v>
      </c>
    </row>
    <row r="114" spans="1:35" x14ac:dyDescent="0.25">
      <c r="A114" s="17" t="s">
        <v>105</v>
      </c>
      <c r="B114" s="13" t="s">
        <v>105</v>
      </c>
      <c r="C114" s="25">
        <v>3.2</v>
      </c>
      <c r="D114" s="25">
        <v>3.6</v>
      </c>
      <c r="E114" s="25">
        <v>4</v>
      </c>
      <c r="F114" s="34">
        <v>3.5</v>
      </c>
      <c r="G114" s="18">
        <f t="shared" si="6"/>
        <v>0</v>
      </c>
    </row>
    <row r="115" spans="1:35" x14ac:dyDescent="0.25">
      <c r="A115" s="17" t="s">
        <v>7</v>
      </c>
      <c r="B115" s="13" t="s">
        <v>7</v>
      </c>
      <c r="C115" s="25">
        <v>4.3</v>
      </c>
      <c r="D115" s="25">
        <v>4.8</v>
      </c>
      <c r="E115" s="25">
        <v>5</v>
      </c>
      <c r="F115" s="34">
        <v>4.5</v>
      </c>
      <c r="G115" s="18">
        <f t="shared" si="6"/>
        <v>0</v>
      </c>
      <c r="Z115" s="34"/>
      <c r="AA115" s="93"/>
      <c r="AB115" s="93"/>
      <c r="AC115" s="25"/>
      <c r="AD115" s="103"/>
      <c r="AE115" s="34"/>
      <c r="AF115" s="25"/>
      <c r="AG115" s="103"/>
      <c r="AH115" s="103"/>
      <c r="AI115" s="25"/>
    </row>
    <row r="116" spans="1:35" x14ac:dyDescent="0.25">
      <c r="A116" s="17" t="s">
        <v>45</v>
      </c>
      <c r="B116" s="13" t="s">
        <v>45</v>
      </c>
      <c r="C116" s="25">
        <v>5.3</v>
      </c>
      <c r="D116" s="25">
        <v>5.8</v>
      </c>
      <c r="E116" s="25">
        <v>6</v>
      </c>
      <c r="F116" s="34">
        <v>5.5</v>
      </c>
      <c r="G116" s="18">
        <f t="shared" si="6"/>
        <v>0</v>
      </c>
    </row>
    <row r="117" spans="1:35" x14ac:dyDescent="0.25">
      <c r="A117" s="17" t="s">
        <v>49</v>
      </c>
      <c r="B117" s="13" t="s">
        <v>49</v>
      </c>
      <c r="C117" s="25">
        <v>6.4</v>
      </c>
      <c r="D117" s="25">
        <v>7</v>
      </c>
      <c r="E117" s="25">
        <v>7</v>
      </c>
      <c r="F117" s="25"/>
      <c r="G117" s="18">
        <f t="shared" si="6"/>
        <v>0</v>
      </c>
    </row>
    <row r="118" spans="1:35" x14ac:dyDescent="0.25">
      <c r="A118" s="17" t="s">
        <v>106</v>
      </c>
      <c r="B118" s="13" t="s">
        <v>106</v>
      </c>
      <c r="C118" s="25">
        <v>8.4</v>
      </c>
      <c r="D118" s="25">
        <v>10</v>
      </c>
      <c r="E118" s="25">
        <v>10</v>
      </c>
      <c r="F118" s="25"/>
      <c r="G118" s="18">
        <f t="shared" si="6"/>
        <v>0</v>
      </c>
    </row>
    <row r="119" spans="1:35" x14ac:dyDescent="0.25">
      <c r="A119" s="17" t="s">
        <v>107</v>
      </c>
      <c r="B119" s="13" t="s">
        <v>107</v>
      </c>
      <c r="C119" s="25">
        <v>10.5</v>
      </c>
      <c r="D119" s="25">
        <v>12</v>
      </c>
      <c r="E119" s="25">
        <v>12</v>
      </c>
      <c r="F119" s="25"/>
      <c r="G119" s="18">
        <f t="shared" si="6"/>
        <v>0</v>
      </c>
    </row>
    <row r="120" spans="1:35" x14ac:dyDescent="0.25">
      <c r="A120" s="17" t="s">
        <v>108</v>
      </c>
      <c r="B120" s="13" t="s">
        <v>108</v>
      </c>
      <c r="C120" s="25">
        <v>13</v>
      </c>
      <c r="D120" s="25">
        <v>15</v>
      </c>
      <c r="E120" s="25">
        <v>15</v>
      </c>
      <c r="F120" s="25"/>
      <c r="G120" s="18">
        <f t="shared" si="6"/>
        <v>0</v>
      </c>
    </row>
    <row r="121" spans="1:35" x14ac:dyDescent="0.25">
      <c r="A121" s="17" t="s">
        <v>109</v>
      </c>
      <c r="B121" s="13" t="s">
        <v>109</v>
      </c>
      <c r="C121" s="25">
        <v>17</v>
      </c>
      <c r="D121" s="25">
        <v>19</v>
      </c>
      <c r="E121" s="25">
        <v>19</v>
      </c>
      <c r="F121" s="25"/>
      <c r="G121" s="18">
        <f t="shared" si="6"/>
        <v>0</v>
      </c>
    </row>
    <row r="122" spans="1:35" x14ac:dyDescent="0.25">
      <c r="A122" s="17" t="s">
        <v>110</v>
      </c>
      <c r="B122" s="13" t="s">
        <v>110</v>
      </c>
      <c r="C122" s="25">
        <v>21</v>
      </c>
      <c r="D122" s="25">
        <v>24</v>
      </c>
      <c r="E122" s="25">
        <v>24</v>
      </c>
      <c r="F122" s="25"/>
      <c r="G122" s="18">
        <f t="shared" si="6"/>
        <v>0</v>
      </c>
    </row>
    <row r="123" spans="1:35" x14ac:dyDescent="0.25">
      <c r="A123" s="17" t="s">
        <v>111</v>
      </c>
      <c r="B123" s="13" t="s">
        <v>111</v>
      </c>
      <c r="C123" s="25">
        <v>25</v>
      </c>
      <c r="D123" s="25">
        <v>28</v>
      </c>
      <c r="E123" s="25">
        <v>28</v>
      </c>
      <c r="F123" s="25"/>
      <c r="G123" s="18">
        <f t="shared" si="6"/>
        <v>0</v>
      </c>
    </row>
    <row r="124" spans="1:35" x14ac:dyDescent="0.25">
      <c r="A124" s="17" t="s">
        <v>112</v>
      </c>
      <c r="B124" s="13" t="s">
        <v>112</v>
      </c>
      <c r="C124" s="25">
        <v>31</v>
      </c>
      <c r="D124" s="25">
        <v>35</v>
      </c>
      <c r="E124" s="25">
        <v>35</v>
      </c>
      <c r="F124" s="25"/>
      <c r="G124" s="18">
        <f t="shared" si="6"/>
        <v>0</v>
      </c>
    </row>
    <row r="125" spans="1:35" x14ac:dyDescent="0.25">
      <c r="A125" s="17" t="s">
        <v>113</v>
      </c>
      <c r="B125" s="13" t="s">
        <v>113</v>
      </c>
      <c r="C125" s="25">
        <v>37</v>
      </c>
      <c r="D125" s="25">
        <v>42</v>
      </c>
      <c r="E125" s="25">
        <v>42</v>
      </c>
      <c r="F125" s="25"/>
      <c r="G125" s="18">
        <f>IF(AND($B$21&lt;=D125,$B$21&gt;=C125),1,0)</f>
        <v>0</v>
      </c>
    </row>
    <row r="126" spans="1:35" x14ac:dyDescent="0.25">
      <c r="A126" s="40" t="s">
        <v>143</v>
      </c>
      <c r="B126" s="124"/>
      <c r="C126" s="25"/>
      <c r="D126" s="25"/>
      <c r="E126" s="25"/>
      <c r="F126" s="25"/>
      <c r="G126" s="18"/>
    </row>
    <row r="127" spans="1:35" x14ac:dyDescent="0.25">
      <c r="A127" s="40" t="s">
        <v>144</v>
      </c>
      <c r="B127" s="124"/>
      <c r="C127" s="25"/>
      <c r="D127" s="25">
        <v>2.44</v>
      </c>
      <c r="E127" s="25">
        <v>2.8</v>
      </c>
      <c r="F127" s="25"/>
      <c r="G127" s="18"/>
    </row>
    <row r="128" spans="1:35" x14ac:dyDescent="0.25">
      <c r="A128" s="40" t="s">
        <v>145</v>
      </c>
      <c r="B128" s="124"/>
      <c r="C128" s="25"/>
      <c r="D128" s="25">
        <v>3.1</v>
      </c>
      <c r="E128" s="25">
        <v>3.1</v>
      </c>
      <c r="F128" s="25"/>
      <c r="G128" s="18"/>
    </row>
    <row r="129" spans="1:10" x14ac:dyDescent="0.25">
      <c r="A129" s="40" t="s">
        <v>146</v>
      </c>
      <c r="B129" s="124" t="s">
        <v>105</v>
      </c>
      <c r="C129" s="25"/>
      <c r="D129" s="25">
        <v>3.76</v>
      </c>
      <c r="E129" s="25">
        <v>3.4</v>
      </c>
      <c r="F129" s="25"/>
      <c r="G129" s="18"/>
    </row>
    <row r="130" spans="1:10" x14ac:dyDescent="0.25">
      <c r="A130" s="40" t="s">
        <v>147</v>
      </c>
      <c r="B130" s="124"/>
      <c r="C130" s="25"/>
      <c r="D130" s="25"/>
      <c r="E130" s="25">
        <v>3.8</v>
      </c>
      <c r="F130" s="25"/>
      <c r="G130" s="18"/>
    </row>
    <row r="131" spans="1:10" x14ac:dyDescent="0.25">
      <c r="A131" s="40" t="s">
        <v>148</v>
      </c>
      <c r="B131" s="124"/>
      <c r="C131" s="25"/>
      <c r="D131" s="25"/>
      <c r="E131" s="25">
        <v>4.2</v>
      </c>
      <c r="F131" s="25"/>
      <c r="G131" s="18"/>
      <c r="J131" s="16"/>
    </row>
    <row r="132" spans="1:10" x14ac:dyDescent="0.25">
      <c r="A132" s="40" t="s">
        <v>149</v>
      </c>
      <c r="B132" s="124" t="s">
        <v>7</v>
      </c>
      <c r="C132" s="25"/>
      <c r="D132" s="25"/>
      <c r="E132" s="25">
        <v>5</v>
      </c>
      <c r="F132" s="25"/>
      <c r="G132" s="18"/>
    </row>
    <row r="133" spans="1:10" x14ac:dyDescent="0.25">
      <c r="A133" s="40" t="s">
        <v>150</v>
      </c>
      <c r="B133" s="124"/>
      <c r="C133" s="25"/>
      <c r="D133" s="25"/>
      <c r="E133" s="25">
        <v>5.6</v>
      </c>
      <c r="F133" s="25"/>
      <c r="G133" s="18"/>
    </row>
    <row r="134" spans="1:10" x14ac:dyDescent="0.25">
      <c r="A134" s="40" t="s">
        <v>151</v>
      </c>
      <c r="B134" s="124" t="s">
        <v>45</v>
      </c>
      <c r="C134" s="25"/>
      <c r="D134" s="25"/>
      <c r="E134" s="25">
        <v>6</v>
      </c>
      <c r="F134" s="25"/>
      <c r="G134" s="18"/>
    </row>
    <row r="135" spans="1:10" x14ac:dyDescent="0.25">
      <c r="A135" s="40" t="s">
        <v>152</v>
      </c>
      <c r="B135" s="124"/>
      <c r="C135" s="25"/>
      <c r="D135" s="25"/>
      <c r="E135" s="25">
        <v>7.4</v>
      </c>
      <c r="F135" s="25"/>
      <c r="G135" s="18"/>
    </row>
    <row r="136" spans="1:10" x14ac:dyDescent="0.25">
      <c r="A136" s="40" t="s">
        <v>153</v>
      </c>
      <c r="B136" s="124"/>
      <c r="C136" s="25"/>
      <c r="D136" s="25"/>
      <c r="E136" s="25">
        <v>10</v>
      </c>
      <c r="F136" s="25"/>
      <c r="G136" s="18"/>
    </row>
    <row r="137" spans="1:10" x14ac:dyDescent="0.25">
      <c r="A137" s="40" t="s">
        <v>154</v>
      </c>
      <c r="B137" s="124"/>
      <c r="C137" s="25"/>
      <c r="D137" s="25"/>
      <c r="E137" s="25">
        <v>12</v>
      </c>
      <c r="F137" s="25"/>
      <c r="G137" s="18"/>
    </row>
    <row r="138" spans="1:10" x14ac:dyDescent="0.25">
      <c r="A138" s="40" t="s">
        <v>155</v>
      </c>
      <c r="B138" s="124"/>
      <c r="C138" s="25"/>
      <c r="D138" s="25"/>
      <c r="E138" s="25">
        <v>14</v>
      </c>
      <c r="F138" s="25"/>
      <c r="G138" s="18"/>
    </row>
    <row r="139" spans="1:10" x14ac:dyDescent="0.25">
      <c r="A139" s="40" t="s">
        <v>156</v>
      </c>
      <c r="B139" s="124"/>
      <c r="C139" s="25"/>
      <c r="D139" s="25"/>
      <c r="E139" s="25">
        <v>16</v>
      </c>
      <c r="F139" s="25"/>
      <c r="G139" s="18"/>
    </row>
    <row r="140" spans="1:10" x14ac:dyDescent="0.25">
      <c r="A140" s="40" t="s">
        <v>491</v>
      </c>
      <c r="B140" s="124"/>
      <c r="C140" s="25"/>
      <c r="D140" s="25"/>
      <c r="E140" s="25"/>
      <c r="F140" s="25"/>
      <c r="G140" s="18"/>
    </row>
    <row r="141" spans="1:10" x14ac:dyDescent="0.25">
      <c r="A141" s="40" t="s">
        <v>492</v>
      </c>
      <c r="B141" s="124"/>
      <c r="C141" s="25"/>
      <c r="D141" s="25"/>
      <c r="E141" s="25">
        <v>2.8</v>
      </c>
      <c r="F141" s="25"/>
      <c r="G141" s="18"/>
    </row>
    <row r="142" spans="1:10" x14ac:dyDescent="0.25">
      <c r="A142" s="40" t="s">
        <v>493</v>
      </c>
      <c r="B142" s="124"/>
      <c r="C142" s="25"/>
      <c r="D142" s="25"/>
      <c r="E142" s="25">
        <v>3.1</v>
      </c>
      <c r="F142" s="25"/>
      <c r="G142" s="18"/>
    </row>
    <row r="143" spans="1:10" x14ac:dyDescent="0.25">
      <c r="A143" s="40" t="s">
        <v>494</v>
      </c>
      <c r="B143" s="124" t="s">
        <v>105</v>
      </c>
      <c r="C143" s="25"/>
      <c r="D143" s="25"/>
      <c r="E143" s="25">
        <v>3.4</v>
      </c>
      <c r="F143" s="25"/>
      <c r="G143" s="18"/>
    </row>
    <row r="144" spans="1:10" x14ac:dyDescent="0.25">
      <c r="A144" s="40" t="s">
        <v>495</v>
      </c>
      <c r="B144" s="124"/>
      <c r="C144" s="25"/>
      <c r="D144" s="25"/>
      <c r="E144" s="25">
        <v>3.8</v>
      </c>
      <c r="F144" s="25"/>
      <c r="G144" s="18"/>
    </row>
    <row r="145" spans="1:9" x14ac:dyDescent="0.25">
      <c r="A145" s="40" t="s">
        <v>496</v>
      </c>
      <c r="B145" s="124"/>
      <c r="C145" s="25"/>
      <c r="D145" s="25"/>
      <c r="E145" s="25">
        <v>4.2</v>
      </c>
      <c r="F145" s="25"/>
      <c r="G145" s="18"/>
    </row>
    <row r="146" spans="1:9" x14ac:dyDescent="0.25">
      <c r="A146" s="40" t="s">
        <v>497</v>
      </c>
      <c r="B146" s="124" t="s">
        <v>7</v>
      </c>
      <c r="C146" s="25"/>
      <c r="D146" s="25"/>
      <c r="E146" s="25">
        <v>5</v>
      </c>
      <c r="F146" s="25"/>
      <c r="G146" s="18"/>
    </row>
    <row r="147" spans="1:9" x14ac:dyDescent="0.25">
      <c r="A147" s="40" t="s">
        <v>498</v>
      </c>
      <c r="B147" s="124"/>
      <c r="C147" s="25"/>
      <c r="D147" s="25"/>
      <c r="E147" s="25">
        <v>5.6</v>
      </c>
      <c r="F147" s="25"/>
      <c r="G147" s="18"/>
    </row>
    <row r="148" spans="1:9" x14ac:dyDescent="0.25">
      <c r="A148" s="40" t="s">
        <v>499</v>
      </c>
      <c r="B148" s="124" t="s">
        <v>45</v>
      </c>
      <c r="C148" s="25"/>
      <c r="D148" s="25"/>
      <c r="E148" s="25">
        <v>6</v>
      </c>
      <c r="F148" s="25"/>
      <c r="G148" s="18"/>
    </row>
    <row r="149" spans="1:9" x14ac:dyDescent="0.25">
      <c r="A149" s="40" t="s">
        <v>500</v>
      </c>
      <c r="B149" s="124"/>
      <c r="C149" s="25"/>
      <c r="D149" s="25"/>
      <c r="E149" s="25">
        <v>7.4</v>
      </c>
      <c r="F149" s="25"/>
      <c r="G149" s="18"/>
    </row>
    <row r="150" spans="1:9" x14ac:dyDescent="0.25">
      <c r="A150" s="40" t="s">
        <v>501</v>
      </c>
      <c r="B150" s="124"/>
      <c r="C150" s="25"/>
      <c r="D150" s="25"/>
      <c r="E150" s="25">
        <v>10</v>
      </c>
      <c r="F150" s="25"/>
      <c r="G150" s="18"/>
    </row>
    <row r="151" spans="1:9" x14ac:dyDescent="0.25">
      <c r="A151" s="40" t="s">
        <v>502</v>
      </c>
      <c r="B151" s="124"/>
      <c r="C151" s="25"/>
      <c r="D151" s="25"/>
      <c r="E151" s="25">
        <v>12</v>
      </c>
      <c r="F151" s="25"/>
      <c r="G151" s="18"/>
    </row>
    <row r="152" spans="1:9" x14ac:dyDescent="0.25">
      <c r="A152" s="40" t="s">
        <v>503</v>
      </c>
      <c r="B152" s="124"/>
      <c r="C152" s="25"/>
      <c r="D152" s="25"/>
      <c r="E152" s="25">
        <v>14</v>
      </c>
      <c r="F152" s="25"/>
      <c r="G152" s="18"/>
    </row>
    <row r="153" spans="1:9" x14ac:dyDescent="0.25">
      <c r="A153" s="41" t="s">
        <v>504</v>
      </c>
      <c r="B153" s="125"/>
      <c r="C153" s="24"/>
      <c r="D153" s="24"/>
      <c r="E153" s="24">
        <v>16</v>
      </c>
      <c r="F153" s="24"/>
      <c r="G153" s="20"/>
    </row>
    <row r="154" spans="1:9" x14ac:dyDescent="0.25">
      <c r="B154" s="103"/>
    </row>
    <row r="156" spans="1:9" ht="30" x14ac:dyDescent="0.25">
      <c r="A156" s="123" t="s">
        <v>524</v>
      </c>
      <c r="I156" t="s">
        <v>35</v>
      </c>
    </row>
    <row r="157" spans="1:9" x14ac:dyDescent="0.25">
      <c r="A157" s="40"/>
      <c r="B157" s="93"/>
    </row>
    <row r="158" spans="1:9" x14ac:dyDescent="0.25">
      <c r="A158" s="21"/>
      <c r="B158" s="22"/>
      <c r="C158" s="22"/>
      <c r="D158" s="22"/>
      <c r="E158" s="22"/>
      <c r="F158" s="22" t="s">
        <v>550</v>
      </c>
      <c r="G158" s="23"/>
    </row>
    <row r="159" spans="1:9" x14ac:dyDescent="0.25">
      <c r="A159" s="17" t="s">
        <v>6</v>
      </c>
      <c r="B159" s="25" t="s">
        <v>518</v>
      </c>
      <c r="C159" s="25" t="s">
        <v>171</v>
      </c>
      <c r="D159" s="25" t="s">
        <v>526</v>
      </c>
      <c r="E159" s="25"/>
      <c r="F159" s="25" t="s">
        <v>75</v>
      </c>
      <c r="G159" s="18"/>
    </row>
    <row r="160" spans="1:9" x14ac:dyDescent="0.25">
      <c r="A160" s="17" t="s">
        <v>6</v>
      </c>
      <c r="B160" s="25" t="s">
        <v>518</v>
      </c>
      <c r="C160" s="25" t="s">
        <v>172</v>
      </c>
      <c r="D160" s="25" t="s">
        <v>527</v>
      </c>
      <c r="E160" s="25"/>
      <c r="F160" s="25" t="s">
        <v>75</v>
      </c>
      <c r="G160" s="18"/>
    </row>
    <row r="161" spans="1:7" x14ac:dyDescent="0.25">
      <c r="A161" s="17" t="s">
        <v>6</v>
      </c>
      <c r="B161" s="25" t="s">
        <v>518</v>
      </c>
      <c r="C161" s="25" t="s">
        <v>278</v>
      </c>
      <c r="D161" s="25" t="s">
        <v>528</v>
      </c>
      <c r="E161" s="25"/>
      <c r="F161" s="25" t="s">
        <v>589</v>
      </c>
      <c r="G161" s="18"/>
    </row>
    <row r="162" spans="1:7" x14ac:dyDescent="0.25">
      <c r="A162" s="17" t="s">
        <v>6</v>
      </c>
      <c r="B162" s="25" t="s">
        <v>518</v>
      </c>
      <c r="C162" s="25" t="s">
        <v>279</v>
      </c>
      <c r="D162" s="25" t="s">
        <v>529</v>
      </c>
      <c r="E162" s="25"/>
      <c r="F162" s="25" t="s">
        <v>590</v>
      </c>
      <c r="G162" s="18"/>
    </row>
    <row r="163" spans="1:7" x14ac:dyDescent="0.25">
      <c r="A163" s="17" t="s">
        <v>6</v>
      </c>
      <c r="B163" s="25" t="s">
        <v>519</v>
      </c>
      <c r="C163" s="25" t="s">
        <v>176</v>
      </c>
      <c r="D163" s="25" t="s">
        <v>530</v>
      </c>
      <c r="E163" s="25"/>
      <c r="F163" s="25" t="s">
        <v>84</v>
      </c>
      <c r="G163" s="18"/>
    </row>
    <row r="164" spans="1:7" x14ac:dyDescent="0.25">
      <c r="A164" s="17" t="s">
        <v>6</v>
      </c>
      <c r="B164" s="25" t="s">
        <v>519</v>
      </c>
      <c r="C164" s="25" t="s">
        <v>177</v>
      </c>
      <c r="D164" s="25" t="s">
        <v>531</v>
      </c>
      <c r="E164" s="25"/>
      <c r="F164" s="25" t="s">
        <v>84</v>
      </c>
      <c r="G164" s="18"/>
    </row>
    <row r="165" spans="1:7" x14ac:dyDescent="0.25">
      <c r="A165" s="17" t="s">
        <v>6</v>
      </c>
      <c r="B165" s="25" t="s">
        <v>519</v>
      </c>
      <c r="C165" s="25" t="s">
        <v>280</v>
      </c>
      <c r="D165" s="25" t="s">
        <v>532</v>
      </c>
      <c r="E165" s="25"/>
      <c r="F165" s="25" t="s">
        <v>591</v>
      </c>
      <c r="G165" s="18"/>
    </row>
    <row r="166" spans="1:7" x14ac:dyDescent="0.25">
      <c r="A166" s="17" t="s">
        <v>6</v>
      </c>
      <c r="B166" s="25" t="s">
        <v>519</v>
      </c>
      <c r="C166" s="25" t="s">
        <v>281</v>
      </c>
      <c r="D166" s="25" t="s">
        <v>533</v>
      </c>
      <c r="E166" s="25"/>
      <c r="F166" s="25" t="s">
        <v>588</v>
      </c>
      <c r="G166" s="18"/>
    </row>
    <row r="167" spans="1:7" x14ac:dyDescent="0.25">
      <c r="A167" s="17" t="s">
        <v>32</v>
      </c>
      <c r="B167" s="25" t="s">
        <v>518</v>
      </c>
      <c r="C167" s="25" t="s">
        <v>171</v>
      </c>
      <c r="D167" s="25" t="s">
        <v>534</v>
      </c>
      <c r="E167" s="25"/>
      <c r="F167" s="25" t="s">
        <v>77</v>
      </c>
      <c r="G167" s="18"/>
    </row>
    <row r="168" spans="1:7" x14ac:dyDescent="0.25">
      <c r="A168" s="17" t="s">
        <v>32</v>
      </c>
      <c r="B168" s="25" t="s">
        <v>518</v>
      </c>
      <c r="C168" s="25" t="s">
        <v>172</v>
      </c>
      <c r="D168" s="25" t="s">
        <v>535</v>
      </c>
      <c r="E168" s="25"/>
      <c r="F168" s="25" t="s">
        <v>77</v>
      </c>
      <c r="G168" s="18"/>
    </row>
    <row r="169" spans="1:7" x14ac:dyDescent="0.25">
      <c r="A169" s="17" t="s">
        <v>32</v>
      </c>
      <c r="B169" s="25" t="s">
        <v>518</v>
      </c>
      <c r="C169" s="25" t="s">
        <v>278</v>
      </c>
      <c r="D169" s="25" t="s">
        <v>536</v>
      </c>
      <c r="E169" s="25"/>
      <c r="F169" s="25" t="s">
        <v>592</v>
      </c>
      <c r="G169" s="18"/>
    </row>
    <row r="170" spans="1:7" x14ac:dyDescent="0.25">
      <c r="A170" s="17" t="s">
        <v>32</v>
      </c>
      <c r="B170" s="25" t="s">
        <v>518</v>
      </c>
      <c r="C170" s="25" t="s">
        <v>279</v>
      </c>
      <c r="D170" s="25" t="s">
        <v>537</v>
      </c>
      <c r="E170" s="25"/>
      <c r="F170" s="25" t="s">
        <v>593</v>
      </c>
      <c r="G170" s="18"/>
    </row>
    <row r="171" spans="1:7" x14ac:dyDescent="0.25">
      <c r="A171" s="17" t="s">
        <v>32</v>
      </c>
      <c r="B171" s="25" t="s">
        <v>519</v>
      </c>
      <c r="C171" s="25" t="s">
        <v>176</v>
      </c>
      <c r="D171" s="25" t="s">
        <v>538</v>
      </c>
      <c r="E171" s="25"/>
      <c r="F171" s="25" t="s">
        <v>85</v>
      </c>
      <c r="G171" s="18"/>
    </row>
    <row r="172" spans="1:7" x14ac:dyDescent="0.25">
      <c r="A172" s="17" t="s">
        <v>32</v>
      </c>
      <c r="B172" s="25" t="s">
        <v>519</v>
      </c>
      <c r="C172" s="25" t="s">
        <v>177</v>
      </c>
      <c r="D172" s="25" t="s">
        <v>539</v>
      </c>
      <c r="E172" s="25"/>
      <c r="F172" s="25" t="s">
        <v>85</v>
      </c>
      <c r="G172" s="18"/>
    </row>
    <row r="173" spans="1:7" x14ac:dyDescent="0.25">
      <c r="A173" s="17" t="s">
        <v>32</v>
      </c>
      <c r="B173" s="25" t="s">
        <v>519</v>
      </c>
      <c r="C173" s="25" t="s">
        <v>280</v>
      </c>
      <c r="D173" s="25" t="s">
        <v>540</v>
      </c>
      <c r="E173" s="25"/>
      <c r="F173" s="25" t="s">
        <v>594</v>
      </c>
      <c r="G173" s="18"/>
    </row>
    <row r="174" spans="1:7" x14ac:dyDescent="0.25">
      <c r="A174" s="17" t="s">
        <v>32</v>
      </c>
      <c r="B174" s="25" t="s">
        <v>519</v>
      </c>
      <c r="C174" s="25" t="s">
        <v>281</v>
      </c>
      <c r="D174" s="25" t="s">
        <v>541</v>
      </c>
      <c r="E174" s="25"/>
      <c r="F174" s="24" t="s">
        <v>595</v>
      </c>
      <c r="G174" s="20"/>
    </row>
    <row r="175" spans="1:7" x14ac:dyDescent="0.25">
      <c r="A175" s="17" t="s">
        <v>33</v>
      </c>
      <c r="B175" s="25" t="s">
        <v>518</v>
      </c>
      <c r="C175" s="25" t="s">
        <v>171</v>
      </c>
      <c r="D175" s="25" t="s">
        <v>542</v>
      </c>
      <c r="E175" s="25"/>
      <c r="F175" s="25" t="s">
        <v>79</v>
      </c>
      <c r="G175" s="18"/>
    </row>
    <row r="176" spans="1:7" x14ac:dyDescent="0.25">
      <c r="A176" s="17" t="s">
        <v>33</v>
      </c>
      <c r="B176" s="25" t="s">
        <v>518</v>
      </c>
      <c r="C176" s="25" t="s">
        <v>172</v>
      </c>
      <c r="D176" s="25" t="s">
        <v>543</v>
      </c>
      <c r="E176" s="25"/>
      <c r="F176" s="25" t="s">
        <v>79</v>
      </c>
      <c r="G176" s="18"/>
    </row>
    <row r="177" spans="1:7" x14ac:dyDescent="0.25">
      <c r="A177" s="17" t="s">
        <v>33</v>
      </c>
      <c r="B177" s="25" t="s">
        <v>518</v>
      </c>
      <c r="C177" s="25" t="s">
        <v>278</v>
      </c>
      <c r="D177" s="25" t="s">
        <v>544</v>
      </c>
      <c r="E177" s="25"/>
      <c r="F177" s="25" t="s">
        <v>596</v>
      </c>
      <c r="G177" s="18"/>
    </row>
    <row r="178" spans="1:7" x14ac:dyDescent="0.25">
      <c r="A178" s="17" t="s">
        <v>33</v>
      </c>
      <c r="B178" s="25" t="s">
        <v>518</v>
      </c>
      <c r="C178" s="25" t="s">
        <v>279</v>
      </c>
      <c r="D178" s="25" t="s">
        <v>545</v>
      </c>
      <c r="E178" s="25"/>
      <c r="F178" s="25" t="s">
        <v>597</v>
      </c>
      <c r="G178" s="18"/>
    </row>
    <row r="179" spans="1:7" x14ac:dyDescent="0.25">
      <c r="A179" s="17" t="s">
        <v>33</v>
      </c>
      <c r="B179" s="25" t="s">
        <v>519</v>
      </c>
      <c r="C179" s="25" t="s">
        <v>176</v>
      </c>
      <c r="D179" s="25" t="s">
        <v>546</v>
      </c>
      <c r="E179" s="25"/>
      <c r="F179" s="25" t="s">
        <v>86</v>
      </c>
      <c r="G179" s="18"/>
    </row>
    <row r="180" spans="1:7" x14ac:dyDescent="0.25">
      <c r="A180" s="17" t="s">
        <v>33</v>
      </c>
      <c r="B180" s="25" t="s">
        <v>519</v>
      </c>
      <c r="C180" s="25" t="s">
        <v>177</v>
      </c>
      <c r="D180" s="25" t="s">
        <v>547</v>
      </c>
      <c r="E180" s="25"/>
      <c r="F180" s="25" t="s">
        <v>86</v>
      </c>
      <c r="G180" s="18"/>
    </row>
    <row r="181" spans="1:7" x14ac:dyDescent="0.25">
      <c r="A181" s="17" t="s">
        <v>33</v>
      </c>
      <c r="B181" s="25" t="s">
        <v>519</v>
      </c>
      <c r="C181" s="25" t="s">
        <v>280</v>
      </c>
      <c r="D181" s="25" t="s">
        <v>548</v>
      </c>
      <c r="E181" s="25"/>
      <c r="F181" s="34" t="s">
        <v>702</v>
      </c>
      <c r="G181" s="18"/>
    </row>
    <row r="182" spans="1:7" x14ac:dyDescent="0.25">
      <c r="A182" s="17" t="s">
        <v>33</v>
      </c>
      <c r="B182" s="25" t="s">
        <v>519</v>
      </c>
      <c r="C182" s="25" t="s">
        <v>281</v>
      </c>
      <c r="D182" s="25" t="s">
        <v>549</v>
      </c>
      <c r="E182" s="25"/>
      <c r="F182" s="25" t="s">
        <v>598</v>
      </c>
      <c r="G182" s="18"/>
    </row>
    <row r="183" spans="1:7" x14ac:dyDescent="0.25">
      <c r="A183" s="17" t="s">
        <v>6</v>
      </c>
      <c r="B183" s="25" t="s">
        <v>519</v>
      </c>
      <c r="C183" s="25" t="s">
        <v>679</v>
      </c>
      <c r="D183" s="25" t="str">
        <f t="shared" ref="D183:D187" si="7">CONCATENATE(A183,B183,C183)</f>
        <v>PC25PASPLC2-092</v>
      </c>
      <c r="E183" s="25"/>
      <c r="F183" s="34" t="s">
        <v>685</v>
      </c>
      <c r="G183" s="18"/>
    </row>
    <row r="184" spans="1:7" x14ac:dyDescent="0.25">
      <c r="A184" s="17" t="s">
        <v>32</v>
      </c>
      <c r="B184" s="25" t="s">
        <v>519</v>
      </c>
      <c r="C184" s="25" t="s">
        <v>680</v>
      </c>
      <c r="D184" s="25" t="str">
        <f t="shared" si="7"/>
        <v>PC32PASPLC2-106</v>
      </c>
      <c r="E184" s="25"/>
      <c r="F184" s="25" t="s">
        <v>686</v>
      </c>
      <c r="G184" s="18"/>
    </row>
    <row r="185" spans="1:7" s="103" customFormat="1" x14ac:dyDescent="0.25">
      <c r="A185" s="17" t="s">
        <v>33</v>
      </c>
      <c r="B185" s="25" t="s">
        <v>518</v>
      </c>
      <c r="C185" s="25" t="s">
        <v>612</v>
      </c>
      <c r="D185" s="25" t="str">
        <f>CONCATENATE(A185,B185,C185)</f>
        <v>PC40LXSPLB2-008</v>
      </c>
      <c r="E185" s="25"/>
      <c r="F185" s="25" t="s">
        <v>687</v>
      </c>
      <c r="G185" s="18"/>
    </row>
    <row r="186" spans="1:7" s="103" customFormat="1" x14ac:dyDescent="0.25">
      <c r="A186" s="17" t="s">
        <v>33</v>
      </c>
      <c r="B186" s="34" t="s">
        <v>518</v>
      </c>
      <c r="C186" s="25" t="s">
        <v>678</v>
      </c>
      <c r="D186" s="25" t="str">
        <f>CONCATENATE(A186,B186,C186)</f>
        <v>PC40LXSPLB2-120</v>
      </c>
      <c r="E186" s="25"/>
      <c r="F186" s="25" t="s">
        <v>684</v>
      </c>
      <c r="G186" s="18"/>
    </row>
    <row r="187" spans="1:7" x14ac:dyDescent="0.25">
      <c r="A187" s="17" t="s">
        <v>33</v>
      </c>
      <c r="B187" s="25" t="s">
        <v>519</v>
      </c>
      <c r="C187" s="25" t="s">
        <v>681</v>
      </c>
      <c r="D187" s="25" t="str">
        <f t="shared" si="7"/>
        <v>PC40PASPLD2-107</v>
      </c>
      <c r="E187" s="25"/>
      <c r="F187" s="25" t="s">
        <v>688</v>
      </c>
      <c r="G187" s="18"/>
    </row>
    <row r="188" spans="1:7" x14ac:dyDescent="0.25">
      <c r="A188" s="35" t="s">
        <v>33</v>
      </c>
      <c r="B188" s="34" t="s">
        <v>519</v>
      </c>
      <c r="C188" s="34" t="s">
        <v>614</v>
      </c>
      <c r="D188" s="34" t="str">
        <f t="shared" ref="D188:D218" si="8">CONCATENATE(A188,B188,C188)</f>
        <v>PC40PASPLD2-125</v>
      </c>
      <c r="E188" s="25"/>
      <c r="F188" s="34" t="s">
        <v>667</v>
      </c>
      <c r="G188" s="18"/>
    </row>
    <row r="189" spans="1:7" x14ac:dyDescent="0.25">
      <c r="A189" s="17" t="s">
        <v>33</v>
      </c>
      <c r="B189" s="34" t="s">
        <v>518</v>
      </c>
      <c r="C189" s="25" t="s">
        <v>638</v>
      </c>
      <c r="D189" s="34" t="str">
        <f t="shared" si="8"/>
        <v>PC40LXSPLA-137</v>
      </c>
      <c r="E189" s="25"/>
      <c r="F189" s="34" t="s">
        <v>639</v>
      </c>
      <c r="G189" s="18"/>
    </row>
    <row r="190" spans="1:7" x14ac:dyDescent="0.25">
      <c r="A190" s="17" t="s">
        <v>33</v>
      </c>
      <c r="B190" s="34" t="s">
        <v>519</v>
      </c>
      <c r="C190" s="34" t="s">
        <v>673</v>
      </c>
      <c r="D190" s="34" t="str">
        <f t="shared" si="8"/>
        <v>PC40PASPLA2-135</v>
      </c>
      <c r="E190" s="25"/>
      <c r="F190" s="34" t="s">
        <v>668</v>
      </c>
      <c r="G190" s="18"/>
    </row>
    <row r="191" spans="1:7" s="103" customFormat="1" x14ac:dyDescent="0.25">
      <c r="A191" s="17" t="s">
        <v>33</v>
      </c>
      <c r="B191" s="34" t="s">
        <v>519</v>
      </c>
      <c r="C191" s="34" t="s">
        <v>663</v>
      </c>
      <c r="D191" s="34" t="str">
        <f t="shared" si="8"/>
        <v>PC40PASPLD2-161</v>
      </c>
      <c r="E191" s="25"/>
      <c r="F191" s="34" t="s">
        <v>669</v>
      </c>
      <c r="G191" s="18"/>
    </row>
    <row r="192" spans="1:7" s="103" customFormat="1" x14ac:dyDescent="0.25">
      <c r="A192" s="17" t="s">
        <v>33</v>
      </c>
      <c r="B192" s="34" t="s">
        <v>518</v>
      </c>
      <c r="C192" s="34" t="s">
        <v>657</v>
      </c>
      <c r="D192" s="34" t="str">
        <f t="shared" si="8"/>
        <v>PC40LXSPLB2-107</v>
      </c>
      <c r="E192" s="25"/>
      <c r="F192" s="34" t="s">
        <v>670</v>
      </c>
      <c r="G192" s="18"/>
    </row>
    <row r="193" spans="1:8" s="103" customFormat="1" x14ac:dyDescent="0.25">
      <c r="A193" s="17" t="s">
        <v>32</v>
      </c>
      <c r="B193" s="34" t="s">
        <v>519</v>
      </c>
      <c r="C193" s="34" t="s">
        <v>700</v>
      </c>
      <c r="D193" s="34" t="str">
        <f t="shared" si="8"/>
        <v>PC32PA32PASPLC-204</v>
      </c>
      <c r="E193" s="25"/>
      <c r="F193" s="34" t="s">
        <v>658</v>
      </c>
      <c r="G193" s="18"/>
    </row>
    <row r="194" spans="1:8" s="103" customFormat="1" x14ac:dyDescent="0.25">
      <c r="A194" s="17" t="s">
        <v>32</v>
      </c>
      <c r="B194" s="34" t="s">
        <v>518</v>
      </c>
      <c r="C194" s="34" t="s">
        <v>674</v>
      </c>
      <c r="D194" s="34" t="str">
        <f t="shared" si="8"/>
        <v>PC32LXSPLB2-135</v>
      </c>
      <c r="E194" s="25"/>
      <c r="F194" s="34" t="s">
        <v>671</v>
      </c>
      <c r="G194" s="18"/>
    </row>
    <row r="195" spans="1:8" s="103" customFormat="1" x14ac:dyDescent="0.25">
      <c r="A195" s="17" t="s">
        <v>32</v>
      </c>
      <c r="B195" s="34" t="s">
        <v>518</v>
      </c>
      <c r="C195" s="34" t="s">
        <v>640</v>
      </c>
      <c r="D195" s="34" t="str">
        <f t="shared" si="8"/>
        <v>PC32LXSPLA-192</v>
      </c>
      <c r="E195" s="25"/>
      <c r="F195" s="34" t="s">
        <v>641</v>
      </c>
      <c r="G195" s="18"/>
    </row>
    <row r="196" spans="1:8" s="103" customFormat="1" x14ac:dyDescent="0.25">
      <c r="A196" s="17" t="s">
        <v>6</v>
      </c>
      <c r="B196" s="34" t="s">
        <v>519</v>
      </c>
      <c r="C196" s="34" t="s">
        <v>642</v>
      </c>
      <c r="D196" s="34" t="str">
        <f t="shared" si="8"/>
        <v>PC25PASPLD2-203</v>
      </c>
      <c r="E196" s="25"/>
      <c r="F196" s="34" t="s">
        <v>689</v>
      </c>
      <c r="G196" s="18"/>
    </row>
    <row r="197" spans="1:8" s="103" customFormat="1" x14ac:dyDescent="0.25">
      <c r="A197" s="17" t="s">
        <v>6</v>
      </c>
      <c r="B197" s="34" t="s">
        <v>519</v>
      </c>
      <c r="C197" s="34" t="s">
        <v>643</v>
      </c>
      <c r="D197" s="34" t="str">
        <f t="shared" si="8"/>
        <v>PC25PASPLD2-210</v>
      </c>
      <c r="E197" s="25"/>
      <c r="F197" s="34" t="s">
        <v>690</v>
      </c>
      <c r="G197" s="18"/>
    </row>
    <row r="198" spans="1:8" x14ac:dyDescent="0.25">
      <c r="A198" s="34" t="s">
        <v>33</v>
      </c>
      <c r="B198" s="25" t="s">
        <v>519</v>
      </c>
      <c r="C198" s="25" t="s">
        <v>701</v>
      </c>
      <c r="D198" s="25" t="str">
        <f t="shared" si="8"/>
        <v>PC40PA40PASPLC-204</v>
      </c>
      <c r="E198" s="25"/>
      <c r="F198" s="34" t="s">
        <v>664</v>
      </c>
      <c r="G198" s="18"/>
    </row>
    <row r="199" spans="1:8" s="103" customFormat="1" x14ac:dyDescent="0.25">
      <c r="A199" s="34" t="s">
        <v>33</v>
      </c>
      <c r="B199" s="34" t="s">
        <v>519</v>
      </c>
      <c r="C199" s="34" t="s">
        <v>675</v>
      </c>
      <c r="D199" s="34" t="str">
        <f t="shared" si="8"/>
        <v>PC40PASPLD-221</v>
      </c>
      <c r="E199" s="25"/>
      <c r="F199" s="34" t="s">
        <v>665</v>
      </c>
      <c r="G199" s="18"/>
    </row>
    <row r="200" spans="1:8" x14ac:dyDescent="0.25">
      <c r="A200" s="34" t="s">
        <v>32</v>
      </c>
      <c r="B200" s="34" t="s">
        <v>519</v>
      </c>
      <c r="C200" s="34" t="s">
        <v>676</v>
      </c>
      <c r="D200" s="34" t="str">
        <f t="shared" si="8"/>
        <v>PC32PASPLD-223</v>
      </c>
      <c r="E200" s="25"/>
      <c r="F200" s="34" t="s">
        <v>691</v>
      </c>
      <c r="G200" s="18"/>
    </row>
    <row r="201" spans="1:8" x14ac:dyDescent="0.25">
      <c r="A201" s="34" t="s">
        <v>33</v>
      </c>
      <c r="B201" s="34" t="s">
        <v>519</v>
      </c>
      <c r="C201" s="34" t="s">
        <v>677</v>
      </c>
      <c r="D201" s="34" t="str">
        <f t="shared" si="8"/>
        <v>PC40PASPLD-224</v>
      </c>
      <c r="E201" s="25"/>
      <c r="F201" s="34" t="s">
        <v>692</v>
      </c>
      <c r="G201" s="18"/>
    </row>
    <row r="202" spans="1:8" x14ac:dyDescent="0.25">
      <c r="A202" s="34" t="s">
        <v>32</v>
      </c>
      <c r="B202" s="34" t="s">
        <v>518</v>
      </c>
      <c r="C202" s="34" t="s">
        <v>647</v>
      </c>
      <c r="D202" s="34" t="str">
        <f t="shared" si="8"/>
        <v>PC32LXSPLB-242</v>
      </c>
      <c r="E202" s="25"/>
      <c r="F202" s="34" t="s">
        <v>648</v>
      </c>
      <c r="G202" s="18"/>
    </row>
    <row r="203" spans="1:8" x14ac:dyDescent="0.25">
      <c r="A203" s="34" t="s">
        <v>32</v>
      </c>
      <c r="B203" s="34" t="s">
        <v>519</v>
      </c>
      <c r="C203" s="34" t="s">
        <v>649</v>
      </c>
      <c r="D203" s="34" t="str">
        <f t="shared" si="8"/>
        <v>PC32PASPLC-243</v>
      </c>
      <c r="E203" s="25"/>
      <c r="F203" s="34" t="s">
        <v>693</v>
      </c>
      <c r="G203" s="18"/>
    </row>
    <row r="204" spans="1:8" x14ac:dyDescent="0.25">
      <c r="A204" s="34" t="s">
        <v>6</v>
      </c>
      <c r="B204" s="34" t="s">
        <v>518</v>
      </c>
      <c r="C204" s="34" t="s">
        <v>650</v>
      </c>
      <c r="D204" s="34" t="str">
        <f t="shared" si="8"/>
        <v>PC25LXSPLB2-246</v>
      </c>
      <c r="E204" s="25"/>
      <c r="F204" s="25" t="s">
        <v>651</v>
      </c>
      <c r="G204" s="18"/>
    </row>
    <row r="205" spans="1:8" s="103" customFormat="1" x14ac:dyDescent="0.25">
      <c r="A205" s="34" t="s">
        <v>32</v>
      </c>
      <c r="B205" s="34" t="s">
        <v>519</v>
      </c>
      <c r="C205" s="34" t="s">
        <v>655</v>
      </c>
      <c r="D205" s="34" t="str">
        <f t="shared" si="8"/>
        <v>PC32PASPLD2-271</v>
      </c>
      <c r="E205" s="25"/>
      <c r="F205" s="34" t="s">
        <v>666</v>
      </c>
      <c r="G205" s="18"/>
    </row>
    <row r="206" spans="1:8" s="103" customFormat="1" x14ac:dyDescent="0.25">
      <c r="A206" s="34" t="s">
        <v>33</v>
      </c>
      <c r="B206" s="34" t="s">
        <v>518</v>
      </c>
      <c r="C206" s="34" t="s">
        <v>654</v>
      </c>
      <c r="D206" s="34" t="str">
        <f t="shared" si="8"/>
        <v>PC40LXSPLA-125</v>
      </c>
      <c r="E206" s="25"/>
      <c r="F206" s="34" t="s">
        <v>694</v>
      </c>
      <c r="G206" s="18"/>
    </row>
    <row r="207" spans="1:8" s="103" customFormat="1" x14ac:dyDescent="0.25">
      <c r="A207" s="34" t="s">
        <v>32</v>
      </c>
      <c r="B207" s="34" t="s">
        <v>518</v>
      </c>
      <c r="C207" s="34" t="s">
        <v>657</v>
      </c>
      <c r="D207" s="34" t="str">
        <f t="shared" si="8"/>
        <v>PC32LXSPLB2-107</v>
      </c>
      <c r="E207" s="25"/>
      <c r="F207" s="34" t="s">
        <v>672</v>
      </c>
      <c r="G207" s="18"/>
    </row>
    <row r="208" spans="1:8" s="103" customFormat="1" x14ac:dyDescent="0.25">
      <c r="A208" s="34" t="s">
        <v>32</v>
      </c>
      <c r="B208" s="34" t="s">
        <v>518</v>
      </c>
      <c r="C208" s="34" t="s">
        <v>659</v>
      </c>
      <c r="D208" s="34" t="str">
        <f t="shared" si="8"/>
        <v>PC32LXSPLB-125</v>
      </c>
      <c r="E208" s="25"/>
      <c r="F208" s="34" t="s">
        <v>660</v>
      </c>
      <c r="G208" s="18"/>
      <c r="H208" s="34"/>
    </row>
    <row r="209" spans="1:9" s="103" customFormat="1" x14ac:dyDescent="0.25">
      <c r="A209" s="34" t="s">
        <v>32</v>
      </c>
      <c r="B209" s="34" t="s">
        <v>519</v>
      </c>
      <c r="C209" s="34" t="s">
        <v>661</v>
      </c>
      <c r="D209" s="34" t="str">
        <f t="shared" si="8"/>
        <v>PC32PASPLC2-007</v>
      </c>
      <c r="E209" s="25"/>
      <c r="F209" s="34" t="s">
        <v>683</v>
      </c>
      <c r="G209" s="18"/>
      <c r="H209" s="34"/>
    </row>
    <row r="210" spans="1:9" s="103" customFormat="1" x14ac:dyDescent="0.25">
      <c r="A210" s="34" t="s">
        <v>32</v>
      </c>
      <c r="B210" s="34" t="s">
        <v>518</v>
      </c>
      <c r="C210" s="34" t="s">
        <v>652</v>
      </c>
      <c r="D210" s="34" t="str">
        <f t="shared" si="8"/>
        <v>PC32LXSPLA-248</v>
      </c>
      <c r="E210" s="25"/>
      <c r="F210" s="34" t="s">
        <v>695</v>
      </c>
      <c r="G210" s="18"/>
    </row>
    <row r="211" spans="1:9" s="103" customFormat="1" x14ac:dyDescent="0.25">
      <c r="A211" s="34" t="s">
        <v>32</v>
      </c>
      <c r="B211" s="34" t="s">
        <v>518</v>
      </c>
      <c r="C211" s="34" t="s">
        <v>697</v>
      </c>
      <c r="D211" s="34" t="str">
        <f t="shared" si="8"/>
        <v>PC32LX32LXB2-274</v>
      </c>
      <c r="E211" s="25"/>
      <c r="F211" s="25" t="s">
        <v>662</v>
      </c>
      <c r="G211" s="18"/>
      <c r="I211" s="103" t="s">
        <v>682</v>
      </c>
    </row>
    <row r="212" spans="1:9" s="103" customFormat="1" x14ac:dyDescent="0.25">
      <c r="A212" s="34" t="s">
        <v>33</v>
      </c>
      <c r="B212" s="34" t="s">
        <v>518</v>
      </c>
      <c r="C212" s="34" t="s">
        <v>698</v>
      </c>
      <c r="D212" s="34" t="str">
        <f t="shared" si="8"/>
        <v>PC40LX40LXB2-274</v>
      </c>
      <c r="E212" s="25"/>
      <c r="F212" s="25" t="s">
        <v>699</v>
      </c>
      <c r="G212" s="18"/>
      <c r="I212" s="103" t="s">
        <v>682</v>
      </c>
    </row>
    <row r="213" spans="1:9" s="103" customFormat="1" x14ac:dyDescent="0.25">
      <c r="A213" s="34" t="s">
        <v>33</v>
      </c>
      <c r="B213" s="34" t="s">
        <v>518</v>
      </c>
      <c r="C213" s="34" t="s">
        <v>703</v>
      </c>
      <c r="D213" s="34" t="str">
        <f t="shared" si="8"/>
        <v>PC40LXSPLA2-282</v>
      </c>
      <c r="E213" s="25"/>
      <c r="F213" s="34" t="s">
        <v>704</v>
      </c>
      <c r="G213" s="18"/>
    </row>
    <row r="214" spans="1:9" s="103" customFormat="1" x14ac:dyDescent="0.25">
      <c r="A214" s="34" t="s">
        <v>6</v>
      </c>
      <c r="B214" s="34" t="s">
        <v>519</v>
      </c>
      <c r="C214" s="34" t="s">
        <v>705</v>
      </c>
      <c r="D214" s="34" t="str">
        <f t="shared" si="8"/>
        <v>PC25PASPLD2-283</v>
      </c>
      <c r="E214" s="25"/>
      <c r="F214" s="34" t="s">
        <v>706</v>
      </c>
      <c r="G214" s="18"/>
    </row>
    <row r="215" spans="1:9" s="103" customFormat="1" x14ac:dyDescent="0.25">
      <c r="A215" s="34" t="s">
        <v>33</v>
      </c>
      <c r="B215" s="34" t="s">
        <v>519</v>
      </c>
      <c r="C215" s="34" t="s">
        <v>708</v>
      </c>
      <c r="D215" s="34" t="str">
        <f t="shared" si="8"/>
        <v>PC40PA40PAD2-288</v>
      </c>
      <c r="E215" s="25"/>
      <c r="F215" s="34" t="s">
        <v>707</v>
      </c>
      <c r="G215" s="18"/>
      <c r="I215" s="103" t="s">
        <v>682</v>
      </c>
    </row>
    <row r="216" spans="1:9" s="103" customFormat="1" x14ac:dyDescent="0.25">
      <c r="A216" s="34" t="s">
        <v>33</v>
      </c>
      <c r="B216" s="34" t="s">
        <v>519</v>
      </c>
      <c r="C216" s="34" t="s">
        <v>709</v>
      </c>
      <c r="D216" s="34" t="str">
        <f t="shared" si="8"/>
        <v>PC40PASPLC-290</v>
      </c>
      <c r="E216" s="25"/>
      <c r="F216" s="34" t="s">
        <v>710</v>
      </c>
      <c r="G216" s="18"/>
    </row>
    <row r="217" spans="1:9" s="103" customFormat="1" x14ac:dyDescent="0.25">
      <c r="A217" s="34" t="s">
        <v>32</v>
      </c>
      <c r="B217" s="34" t="s">
        <v>518</v>
      </c>
      <c r="C217" s="34" t="s">
        <v>711</v>
      </c>
      <c r="D217" s="34" t="str">
        <f t="shared" si="8"/>
        <v>PC32LXSPLB2-300</v>
      </c>
      <c r="E217" s="25"/>
      <c r="F217" s="25" t="s">
        <v>712</v>
      </c>
      <c r="G217" s="18"/>
    </row>
    <row r="218" spans="1:9" s="103" customFormat="1" x14ac:dyDescent="0.25">
      <c r="A218" s="34" t="s">
        <v>33</v>
      </c>
      <c r="B218" s="34" t="s">
        <v>519</v>
      </c>
      <c r="C218" s="34" t="s">
        <v>715</v>
      </c>
      <c r="D218" s="34" t="str">
        <f t="shared" si="8"/>
        <v>PC40PASPLC-137</v>
      </c>
      <c r="E218" s="25"/>
      <c r="F218" s="34" t="s">
        <v>716</v>
      </c>
      <c r="G218" s="18"/>
    </row>
    <row r="219" spans="1:9" s="103" customFormat="1" x14ac:dyDescent="0.25">
      <c r="A219" s="34" t="s">
        <v>33</v>
      </c>
      <c r="B219" s="34" t="s">
        <v>519</v>
      </c>
      <c r="C219" s="34" t="s">
        <v>717</v>
      </c>
      <c r="D219" s="34" t="str">
        <f t="shared" ref="D219" si="9">CONCATENATE(A219,B219,C219)</f>
        <v>PC40PASPLC-329</v>
      </c>
      <c r="E219" s="25"/>
      <c r="F219" s="34" t="s">
        <v>710</v>
      </c>
      <c r="G219" s="18"/>
      <c r="I219" s="103" t="s">
        <v>718</v>
      </c>
    </row>
    <row r="220" spans="1:9" s="103" customFormat="1" x14ac:dyDescent="0.25">
      <c r="A220" s="34" t="s">
        <v>33</v>
      </c>
      <c r="B220" s="34" t="s">
        <v>519</v>
      </c>
      <c r="C220" s="34" t="s">
        <v>713</v>
      </c>
      <c r="D220" s="34" t="str">
        <f t="shared" ref="D220:D222" si="10">CONCATENATE(A220,B220,C220)</f>
        <v>PC40PASPLC-327</v>
      </c>
      <c r="E220" s="25"/>
      <c r="F220" s="25" t="s">
        <v>714</v>
      </c>
      <c r="G220" s="18"/>
    </row>
    <row r="221" spans="1:9" s="103" customFormat="1" x14ac:dyDescent="0.25">
      <c r="A221" s="34" t="s">
        <v>33</v>
      </c>
      <c r="B221" s="34" t="s">
        <v>519</v>
      </c>
      <c r="C221" s="34" t="s">
        <v>719</v>
      </c>
      <c r="D221" s="34" t="str">
        <f t="shared" si="10"/>
        <v>PC40PASPLC-333</v>
      </c>
      <c r="E221" s="25"/>
      <c r="F221" s="34" t="s">
        <v>720</v>
      </c>
      <c r="G221" s="18"/>
    </row>
    <row r="222" spans="1:9" s="103" customFormat="1" x14ac:dyDescent="0.25">
      <c r="A222" s="34" t="s">
        <v>33</v>
      </c>
      <c r="B222" s="34" t="s">
        <v>518</v>
      </c>
      <c r="C222" s="34" t="s">
        <v>726</v>
      </c>
      <c r="D222" s="34" t="str">
        <f t="shared" si="10"/>
        <v>PC40LXSPLB-339</v>
      </c>
      <c r="E222" s="25"/>
      <c r="F222" s="34" t="s">
        <v>727</v>
      </c>
      <c r="G222" s="18"/>
    </row>
    <row r="223" spans="1:9" s="103" customFormat="1" x14ac:dyDescent="0.25">
      <c r="A223" s="34" t="s">
        <v>33</v>
      </c>
      <c r="B223" s="34" t="s">
        <v>518</v>
      </c>
      <c r="C223" s="34" t="s">
        <v>653</v>
      </c>
      <c r="D223" s="34" t="str">
        <f>CONCATENATE(A223,B223,C223)</f>
        <v>PC40LXSPLA2-249</v>
      </c>
      <c r="E223" s="25"/>
      <c r="F223" s="135" t="s">
        <v>696</v>
      </c>
      <c r="G223" s="20"/>
    </row>
    <row r="224" spans="1:9" x14ac:dyDescent="0.25">
      <c r="A224" s="21"/>
      <c r="B224" s="22"/>
      <c r="C224" s="22"/>
      <c r="D224" s="22"/>
      <c r="E224" s="22"/>
      <c r="F224" s="34"/>
      <c r="G224" s="103"/>
    </row>
    <row r="225" spans="1:7" s="103" customFormat="1" x14ac:dyDescent="0.25">
      <c r="A225" s="25"/>
      <c r="B225" s="25"/>
      <c r="C225" s="25"/>
      <c r="D225" s="25"/>
      <c r="E225" s="25"/>
      <c r="F225" s="25"/>
      <c r="G225" s="25"/>
    </row>
  </sheetData>
  <autoFilter ref="A158:CF223" xr:uid="{0D9DBC4C-8E7F-4EBB-B500-DB0AF42A9F03}"/>
  <mergeCells count="3">
    <mergeCell ref="B1:B2"/>
    <mergeCell ref="D1:D2"/>
    <mergeCell ref="C1:C2"/>
  </mergeCells>
  <pageMargins left="0.7" right="0.7" top="0.75" bottom="0.75" header="0.3" footer="0.3"/>
  <pageSetup paperSize="8" scale="33" orientation="landscape" r:id="rId1"/>
  <customProperties>
    <customPr name="workbookAdvencedSettings" r:id="rId2"/>
    <customPr name="workbookExecutionSettings" r:id="rId3"/>
    <customPr name="workbookGatewaySettings" r:id="rId4"/>
  </customProperties>
  <drawing r:id="rId5"/>
  <legacy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5:AJ69"/>
  <sheetViews>
    <sheetView topLeftCell="A4" zoomScale="90" zoomScaleNormal="90" workbookViewId="0">
      <selection activeCell="C3" sqref="C3"/>
    </sheetView>
  </sheetViews>
  <sheetFormatPr defaultRowHeight="15" x14ac:dyDescent="0.25"/>
  <cols>
    <col min="1" max="1" width="16.28515625" bestFit="1" customWidth="1"/>
    <col min="2" max="2" width="14.42578125" bestFit="1" customWidth="1"/>
    <col min="3" max="3" width="26" bestFit="1" customWidth="1"/>
    <col min="4" max="4" width="8.28515625" bestFit="1" customWidth="1"/>
    <col min="5" max="5" width="13.85546875" bestFit="1" customWidth="1"/>
    <col min="6" max="6" width="14.85546875" bestFit="1" customWidth="1"/>
    <col min="7" max="7" width="10.5703125" bestFit="1" customWidth="1"/>
    <col min="8" max="8" width="15.42578125" bestFit="1" customWidth="1"/>
    <col min="9" max="9" width="12" bestFit="1" customWidth="1"/>
    <col min="12" max="12" width="11.28515625" bestFit="1" customWidth="1"/>
    <col min="13" max="13" width="10.140625" bestFit="1" customWidth="1"/>
    <col min="14" max="14" width="11" customWidth="1"/>
    <col min="21" max="21" width="11.28515625" bestFit="1" customWidth="1"/>
    <col min="30" max="30" width="11.28515625" bestFit="1" customWidth="1"/>
  </cols>
  <sheetData>
    <row r="15" ht="18.75" customHeight="1" x14ac:dyDescent="0.25"/>
    <row r="17" spans="1:36" x14ac:dyDescent="0.25">
      <c r="J17" s="1" t="s">
        <v>4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x14ac:dyDescent="0.25">
      <c r="AB18" s="1"/>
      <c r="AC18" s="1"/>
      <c r="AD18" s="1"/>
      <c r="AE18" s="1"/>
      <c r="AF18" s="1"/>
      <c r="AG18" s="1"/>
      <c r="AH18" s="1"/>
      <c r="AI18" s="1"/>
      <c r="AJ18" s="1"/>
    </row>
    <row r="19" spans="1:36" x14ac:dyDescent="0.25">
      <c r="AE19" s="1"/>
      <c r="AF19" s="1"/>
      <c r="AG19" s="1"/>
    </row>
    <row r="27" spans="1:36" x14ac:dyDescent="0.25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</row>
    <row r="28" spans="1:36" x14ac:dyDescent="0.25">
      <c r="A28" s="2"/>
      <c r="E28" s="2"/>
      <c r="F28" s="2"/>
      <c r="H28" s="2"/>
      <c r="I28" s="2"/>
    </row>
    <row r="32" spans="1:36" ht="18" thickBot="1" x14ac:dyDescent="0.35">
      <c r="A32" s="6" t="s">
        <v>4</v>
      </c>
    </row>
    <row r="33" spans="1:7" ht="15.75" thickTop="1" x14ac:dyDescent="0.25"/>
    <row r="34" spans="1:7" x14ac:dyDescent="0.25">
      <c r="A34" s="3" t="s">
        <v>8</v>
      </c>
      <c r="B34" s="3" t="s">
        <v>9</v>
      </c>
      <c r="C34" s="3" t="s">
        <v>10</v>
      </c>
      <c r="D34" s="3" t="s">
        <v>34</v>
      </c>
      <c r="E34" s="3" t="s">
        <v>35</v>
      </c>
      <c r="F34" s="3" t="s">
        <v>40</v>
      </c>
      <c r="G34" s="3" t="s">
        <v>35</v>
      </c>
    </row>
    <row r="35" spans="1:7" x14ac:dyDescent="0.25">
      <c r="A35" t="s">
        <v>11</v>
      </c>
      <c r="B35" t="s">
        <v>12</v>
      </c>
      <c r="C35" t="s">
        <v>14</v>
      </c>
      <c r="E35" t="s">
        <v>46</v>
      </c>
    </row>
    <row r="36" spans="1:7" x14ac:dyDescent="0.25">
      <c r="B36" t="s">
        <v>13</v>
      </c>
      <c r="C36" t="s">
        <v>15</v>
      </c>
      <c r="E36" t="s">
        <v>46</v>
      </c>
    </row>
    <row r="38" spans="1:7" x14ac:dyDescent="0.25">
      <c r="A38" t="s">
        <v>16</v>
      </c>
      <c r="B38" t="s">
        <v>17</v>
      </c>
      <c r="C38" t="s">
        <v>39</v>
      </c>
      <c r="E38" t="s">
        <v>46</v>
      </c>
    </row>
    <row r="39" spans="1:7" x14ac:dyDescent="0.25">
      <c r="B39" t="s">
        <v>36</v>
      </c>
      <c r="C39" t="s">
        <v>36</v>
      </c>
      <c r="E39" t="s">
        <v>47</v>
      </c>
    </row>
    <row r="40" spans="1:7" x14ac:dyDescent="0.25">
      <c r="B40" t="s">
        <v>18</v>
      </c>
      <c r="C40" t="s">
        <v>18</v>
      </c>
      <c r="E40" t="s">
        <v>47</v>
      </c>
    </row>
    <row r="41" spans="1:7" x14ac:dyDescent="0.25">
      <c r="B41" t="s">
        <v>1</v>
      </c>
      <c r="C41" t="s">
        <v>27</v>
      </c>
      <c r="E41" t="s">
        <v>47</v>
      </c>
    </row>
    <row r="42" spans="1:7" x14ac:dyDescent="0.25">
      <c r="B42" t="s">
        <v>2</v>
      </c>
      <c r="C42" t="s">
        <v>27</v>
      </c>
      <c r="E42" t="s">
        <v>47</v>
      </c>
    </row>
    <row r="43" spans="1:7" x14ac:dyDescent="0.25">
      <c r="B43" t="s">
        <v>37</v>
      </c>
      <c r="C43" t="s">
        <v>38</v>
      </c>
      <c r="E43" t="s">
        <v>47</v>
      </c>
    </row>
    <row r="46" spans="1:7" x14ac:dyDescent="0.25">
      <c r="A46" t="s">
        <v>19</v>
      </c>
      <c r="B46" t="s">
        <v>12</v>
      </c>
      <c r="C46" t="s">
        <v>20</v>
      </c>
      <c r="E46" t="s">
        <v>46</v>
      </c>
    </row>
    <row r="47" spans="1:7" x14ac:dyDescent="0.25">
      <c r="B47" t="s">
        <v>17</v>
      </c>
      <c r="C47" t="s">
        <v>21</v>
      </c>
      <c r="E47" t="s">
        <v>46</v>
      </c>
    </row>
    <row r="49" spans="1:5" x14ac:dyDescent="0.25">
      <c r="A49" t="s">
        <v>22</v>
      </c>
      <c r="B49" t="s">
        <v>17</v>
      </c>
      <c r="C49" t="s">
        <v>23</v>
      </c>
      <c r="E49" t="s">
        <v>46</v>
      </c>
    </row>
    <row r="50" spans="1:5" x14ac:dyDescent="0.25">
      <c r="B50" t="s">
        <v>24</v>
      </c>
      <c r="C50" t="s">
        <v>25</v>
      </c>
      <c r="E50" t="s">
        <v>46</v>
      </c>
    </row>
    <row r="51" spans="1:5" x14ac:dyDescent="0.25">
      <c r="B51" t="s">
        <v>3</v>
      </c>
      <c r="C51" t="s">
        <v>26</v>
      </c>
      <c r="E51" t="s">
        <v>48</v>
      </c>
    </row>
    <row r="54" spans="1:5" ht="18" thickBot="1" x14ac:dyDescent="0.35">
      <c r="A54" s="6" t="s">
        <v>5</v>
      </c>
    </row>
    <row r="55" spans="1:5" ht="15.75" thickTop="1" x14ac:dyDescent="0.25"/>
    <row r="56" spans="1:5" x14ac:dyDescent="0.25">
      <c r="A56" t="s">
        <v>16</v>
      </c>
      <c r="B56" t="s">
        <v>17</v>
      </c>
      <c r="C56" t="s">
        <v>27</v>
      </c>
      <c r="E56" t="s">
        <v>46</v>
      </c>
    </row>
    <row r="57" spans="1:5" x14ac:dyDescent="0.25">
      <c r="B57" t="s">
        <v>36</v>
      </c>
      <c r="C57" t="s">
        <v>36</v>
      </c>
      <c r="E57" t="s">
        <v>47</v>
      </c>
    </row>
    <row r="58" spans="1:5" x14ac:dyDescent="0.25">
      <c r="B58" t="s">
        <v>18</v>
      </c>
      <c r="C58" t="s">
        <v>18</v>
      </c>
      <c r="E58" t="s">
        <v>47</v>
      </c>
    </row>
    <row r="59" spans="1:5" x14ac:dyDescent="0.25">
      <c r="B59" t="s">
        <v>1</v>
      </c>
      <c r="C59" t="s">
        <v>27</v>
      </c>
      <c r="E59" t="s">
        <v>47</v>
      </c>
    </row>
    <row r="60" spans="1:5" x14ac:dyDescent="0.25">
      <c r="B60" t="s">
        <v>2</v>
      </c>
      <c r="C60" t="s">
        <v>27</v>
      </c>
      <c r="E60" t="s">
        <v>47</v>
      </c>
    </row>
    <row r="61" spans="1:5" x14ac:dyDescent="0.25">
      <c r="B61" t="s">
        <v>37</v>
      </c>
      <c r="C61" t="s">
        <v>38</v>
      </c>
      <c r="E61" t="s">
        <v>47</v>
      </c>
    </row>
    <row r="63" spans="1:5" x14ac:dyDescent="0.25">
      <c r="A63" t="s">
        <v>31</v>
      </c>
      <c r="B63" t="s">
        <v>17</v>
      </c>
      <c r="C63" t="s">
        <v>23</v>
      </c>
      <c r="E63" t="s">
        <v>46</v>
      </c>
    </row>
    <row r="64" spans="1:5" x14ac:dyDescent="0.25">
      <c r="B64" t="s">
        <v>24</v>
      </c>
      <c r="C64" t="s">
        <v>0</v>
      </c>
      <c r="E64" t="s">
        <v>47</v>
      </c>
    </row>
    <row r="65" spans="1:5" x14ac:dyDescent="0.25">
      <c r="B65" t="s">
        <v>28</v>
      </c>
      <c r="C65" t="s">
        <v>30</v>
      </c>
      <c r="E65" t="s">
        <v>46</v>
      </c>
    </row>
    <row r="66" spans="1:5" x14ac:dyDescent="0.25">
      <c r="B66" t="s">
        <v>29</v>
      </c>
      <c r="C66" t="s">
        <v>30</v>
      </c>
      <c r="E66" t="s">
        <v>46</v>
      </c>
    </row>
    <row r="68" spans="1:5" x14ac:dyDescent="0.25">
      <c r="A68" t="s">
        <v>19</v>
      </c>
      <c r="B68" t="s">
        <v>12</v>
      </c>
      <c r="C68" t="s">
        <v>20</v>
      </c>
      <c r="E68" t="s">
        <v>46</v>
      </c>
    </row>
    <row r="69" spans="1:5" x14ac:dyDescent="0.25">
      <c r="B69" t="s">
        <v>17</v>
      </c>
      <c r="C69" t="s">
        <v>21</v>
      </c>
      <c r="E69" t="s">
        <v>46</v>
      </c>
    </row>
  </sheetData>
  <pageMargins left="0.7" right="0.7" top="0.75" bottom="0.75" header="0.3" footer="0.3"/>
  <pageSetup paperSize="9" orientation="portrait" r:id="rId1"/>
  <customProperties>
    <customPr name="workbookAdvencedSettings" r:id="rId2"/>
    <customPr name="workbookExecutionSettings" r:id="rId3"/>
    <customPr name="workbookGatewaySettings" r:id="rId4"/>
  </customProperties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G171"/>
  <sheetViews>
    <sheetView workbookViewId="0">
      <selection activeCell="C3" sqref="C3"/>
    </sheetView>
  </sheetViews>
  <sheetFormatPr defaultRowHeight="15" x14ac:dyDescent="0.25"/>
  <cols>
    <col min="1" max="1" width="20.5703125" customWidth="1"/>
    <col min="3" max="3" width="15.140625" customWidth="1"/>
    <col min="5" max="5" width="13.140625" bestFit="1" customWidth="1"/>
  </cols>
  <sheetData>
    <row r="1" spans="1:7" x14ac:dyDescent="0.25">
      <c r="A1" t="s">
        <v>270</v>
      </c>
      <c r="C1" t="s">
        <v>283</v>
      </c>
      <c r="E1" t="s">
        <v>287</v>
      </c>
    </row>
    <row r="2" spans="1:7" x14ac:dyDescent="0.25">
      <c r="A2" s="103" t="s">
        <v>297</v>
      </c>
      <c r="C2" t="s">
        <v>285</v>
      </c>
      <c r="E2" t="s">
        <v>286</v>
      </c>
      <c r="F2">
        <f>UIoptions!T21</f>
        <v>5</v>
      </c>
      <c r="G2" t="str">
        <f ca="1">INDIRECT("A"&amp;F2+1)</f>
        <v>Kollmorgen</v>
      </c>
    </row>
    <row r="3" spans="1:7" x14ac:dyDescent="0.25">
      <c r="A3" s="103" t="s">
        <v>192</v>
      </c>
      <c r="C3" t="s">
        <v>285</v>
      </c>
      <c r="E3" t="s">
        <v>288</v>
      </c>
      <c r="F3">
        <f ca="1">ROW(INDEX(TableMotorCrossRef[Manufacturer],MATCH(G2,TableMotorCrossRef[Manufacturer],0)))</f>
        <v>17</v>
      </c>
    </row>
    <row r="4" spans="1:7" x14ac:dyDescent="0.25">
      <c r="A4" s="103" t="s">
        <v>302</v>
      </c>
      <c r="C4" t="s">
        <v>285</v>
      </c>
      <c r="E4" t="s">
        <v>289</v>
      </c>
      <c r="F4">
        <f ca="1">COUNTIF(TableMotorCrossRef[Manufacturer],G2)</f>
        <v>29</v>
      </c>
    </row>
    <row r="5" spans="1:7" x14ac:dyDescent="0.25">
      <c r="A5" s="103" t="s">
        <v>308</v>
      </c>
    </row>
    <row r="6" spans="1:7" x14ac:dyDescent="0.25">
      <c r="A6" s="103" t="s">
        <v>206</v>
      </c>
    </row>
    <row r="7" spans="1:7" x14ac:dyDescent="0.25">
      <c r="A7" s="103" t="s">
        <v>324</v>
      </c>
    </row>
    <row r="8" spans="1:7" x14ac:dyDescent="0.25">
      <c r="A8" s="103" t="s">
        <v>619</v>
      </c>
    </row>
    <row r="9" spans="1:7" x14ac:dyDescent="0.25">
      <c r="A9" s="103" t="s">
        <v>331</v>
      </c>
    </row>
    <row r="10" spans="1:7" x14ac:dyDescent="0.25">
      <c r="A10" s="103" t="s">
        <v>349</v>
      </c>
    </row>
    <row r="11" spans="1:7" x14ac:dyDescent="0.25">
      <c r="A11" s="103" t="s">
        <v>446</v>
      </c>
    </row>
    <row r="12" spans="1:7" x14ac:dyDescent="0.25">
      <c r="A12" s="103" t="s">
        <v>449</v>
      </c>
    </row>
    <row r="13" spans="1:7" x14ac:dyDescent="0.25">
      <c r="A13" s="103" t="s">
        <v>353</v>
      </c>
    </row>
    <row r="14" spans="1:7" x14ac:dyDescent="0.25">
      <c r="A14" s="103" t="s">
        <v>359</v>
      </c>
    </row>
    <row r="15" spans="1:7" x14ac:dyDescent="0.25">
      <c r="A15" s="103" t="s">
        <v>448</v>
      </c>
    </row>
    <row r="16" spans="1:7" x14ac:dyDescent="0.25">
      <c r="A16" s="103" t="s">
        <v>320</v>
      </c>
    </row>
    <row r="17" spans="1:1" x14ac:dyDescent="0.25">
      <c r="A17" s="103" t="s">
        <v>384</v>
      </c>
    </row>
    <row r="18" spans="1:1" x14ac:dyDescent="0.25">
      <c r="A18" s="103" t="s">
        <v>407</v>
      </c>
    </row>
    <row r="19" spans="1:1" x14ac:dyDescent="0.25">
      <c r="A19" s="103" t="s">
        <v>420</v>
      </c>
    </row>
    <row r="20" spans="1:1" x14ac:dyDescent="0.25">
      <c r="A20" s="103" t="s">
        <v>423</v>
      </c>
    </row>
    <row r="21" spans="1:1" x14ac:dyDescent="0.25">
      <c r="A21" s="103" t="s">
        <v>427</v>
      </c>
    </row>
    <row r="22" spans="1:1" x14ac:dyDescent="0.25">
      <c r="A22" s="103" t="s">
        <v>621</v>
      </c>
    </row>
    <row r="23" spans="1:1" x14ac:dyDescent="0.25">
      <c r="A23" s="103" t="s">
        <v>432</v>
      </c>
    </row>
    <row r="168" spans="1:1" x14ac:dyDescent="0.25">
      <c r="A168" t="s">
        <v>282</v>
      </c>
    </row>
    <row r="171" spans="1:1" x14ac:dyDescent="0.25">
      <c r="A171">
        <f>COUNTIF(UiMotorManufacturers[MotorManufacturer],A168)</f>
        <v>0</v>
      </c>
    </row>
  </sheetData>
  <pageMargins left="0.7" right="0.7" top="0.75" bottom="0.75" header="0.3" footer="0.3"/>
  <pageSetup paperSize="9" orientation="portrait" r:id="rId1"/>
  <customProperties>
    <customPr name="workbookAdvencedSettings" r:id="rId2"/>
    <customPr name="workbookExecutionSettings" r:id="rId3"/>
    <customPr name="workbookGatewaySettings" r:id="rId4"/>
  </customProperties>
  <drawing r:id="rId5"/>
  <tableParts count="2">
    <tablePart r:id="rId6"/>
    <tablePart r:id="rId7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E16"/>
  <sheetViews>
    <sheetView zoomScale="115" zoomScaleNormal="115" workbookViewId="0">
      <selection activeCell="C3" sqref="C3"/>
    </sheetView>
  </sheetViews>
  <sheetFormatPr defaultColWidth="9.140625" defaultRowHeight="15" x14ac:dyDescent="0.25"/>
  <cols>
    <col min="1" max="2" width="9.140625" style="160"/>
    <col min="3" max="3" width="12.140625" style="160" bestFit="1" customWidth="1"/>
    <col min="4" max="4" width="66.5703125" style="169" customWidth="1"/>
    <col min="5" max="5" width="10.28515625" style="160" customWidth="1"/>
    <col min="6" max="16384" width="9.140625" style="160"/>
  </cols>
  <sheetData>
    <row r="1" spans="1:5" x14ac:dyDescent="0.25">
      <c r="A1" s="160" t="s">
        <v>458</v>
      </c>
      <c r="B1" s="160" t="s">
        <v>459</v>
      </c>
      <c r="C1" s="160" t="s">
        <v>580</v>
      </c>
      <c r="D1" s="169" t="s">
        <v>460</v>
      </c>
      <c r="E1" s="160" t="s">
        <v>461</v>
      </c>
    </row>
    <row r="2" spans="1:5" x14ac:dyDescent="0.25">
      <c r="A2" s="160" t="s">
        <v>464</v>
      </c>
      <c r="B2" s="160">
        <v>140430</v>
      </c>
      <c r="C2" s="164"/>
      <c r="D2" s="169" t="s">
        <v>462</v>
      </c>
      <c r="E2" s="160" t="s">
        <v>463</v>
      </c>
    </row>
    <row r="3" spans="1:5" ht="105" x14ac:dyDescent="0.25">
      <c r="A3" s="160" t="s">
        <v>569</v>
      </c>
      <c r="B3" s="160">
        <v>140530</v>
      </c>
      <c r="C3" s="164"/>
      <c r="D3" s="169" t="s">
        <v>583</v>
      </c>
      <c r="E3" s="160" t="s">
        <v>463</v>
      </c>
    </row>
    <row r="4" spans="1:5" ht="30" x14ac:dyDescent="0.25">
      <c r="A4" s="160" t="s">
        <v>582</v>
      </c>
      <c r="B4" s="160">
        <v>140618</v>
      </c>
      <c r="C4" s="164" t="s">
        <v>581</v>
      </c>
      <c r="D4" s="169" t="s">
        <v>584</v>
      </c>
      <c r="E4" s="160" t="s">
        <v>463</v>
      </c>
    </row>
    <row r="5" spans="1:5" x14ac:dyDescent="0.25">
      <c r="A5" s="160" t="s">
        <v>599</v>
      </c>
      <c r="B5" s="160">
        <v>140901</v>
      </c>
      <c r="C5" s="164"/>
      <c r="D5" s="169" t="s">
        <v>600</v>
      </c>
      <c r="E5" s="160" t="s">
        <v>463</v>
      </c>
    </row>
    <row r="6" spans="1:5" x14ac:dyDescent="0.25">
      <c r="A6" s="160" t="s">
        <v>601</v>
      </c>
      <c r="B6" s="160">
        <v>140916</v>
      </c>
      <c r="C6" s="164"/>
      <c r="D6" s="169" t="s">
        <v>602</v>
      </c>
      <c r="E6" s="160" t="s">
        <v>603</v>
      </c>
    </row>
    <row r="7" spans="1:5" ht="30" x14ac:dyDescent="0.25">
      <c r="A7" s="160" t="s">
        <v>604</v>
      </c>
      <c r="B7" s="160">
        <v>140922</v>
      </c>
      <c r="C7" s="164"/>
      <c r="D7" s="170" t="s">
        <v>606</v>
      </c>
      <c r="E7" s="160" t="s">
        <v>605</v>
      </c>
    </row>
    <row r="8" spans="1:5" ht="15.95" customHeight="1" x14ac:dyDescent="0.25">
      <c r="A8" s="160" t="s">
        <v>608</v>
      </c>
      <c r="B8" s="160">
        <v>141112</v>
      </c>
      <c r="C8" s="164"/>
      <c r="D8" s="169" t="s">
        <v>609</v>
      </c>
      <c r="E8" s="160" t="s">
        <v>463</v>
      </c>
    </row>
    <row r="9" spans="1:5" ht="30" x14ac:dyDescent="0.25">
      <c r="A9" s="160" t="s">
        <v>610</v>
      </c>
      <c r="B9" s="160">
        <v>150119</v>
      </c>
      <c r="C9" s="164"/>
      <c r="D9" s="169" t="s">
        <v>611</v>
      </c>
      <c r="E9" s="160" t="s">
        <v>463</v>
      </c>
    </row>
    <row r="10" spans="1:5" ht="30" x14ac:dyDescent="0.25">
      <c r="A10" s="160" t="s">
        <v>630</v>
      </c>
      <c r="B10" s="160">
        <v>150910</v>
      </c>
      <c r="C10" s="164"/>
      <c r="D10" s="169" t="s">
        <v>632</v>
      </c>
      <c r="E10" s="160" t="s">
        <v>631</v>
      </c>
    </row>
    <row r="11" spans="1:5" ht="30" x14ac:dyDescent="0.25">
      <c r="A11" s="160" t="s">
        <v>644</v>
      </c>
      <c r="B11" s="160">
        <v>170110</v>
      </c>
      <c r="C11" s="164"/>
      <c r="D11" s="169" t="s">
        <v>646</v>
      </c>
      <c r="E11" s="160" t="s">
        <v>645</v>
      </c>
    </row>
    <row r="12" spans="1:5" x14ac:dyDescent="0.25">
      <c r="B12" s="160">
        <v>180822</v>
      </c>
      <c r="C12" s="164"/>
      <c r="D12" s="169" t="s">
        <v>656</v>
      </c>
      <c r="E12" s="160" t="s">
        <v>645</v>
      </c>
    </row>
    <row r="13" spans="1:5" x14ac:dyDescent="0.25">
      <c r="C13" s="164"/>
    </row>
    <row r="14" spans="1:5" x14ac:dyDescent="0.25">
      <c r="C14" s="164"/>
    </row>
    <row r="15" spans="1:5" x14ac:dyDescent="0.25">
      <c r="C15" s="164"/>
    </row>
    <row r="16" spans="1:5" x14ac:dyDescent="0.25">
      <c r="C16" s="164"/>
    </row>
  </sheetData>
  <pageMargins left="0.7" right="0.7" top="0.75" bottom="0.75" header="0.3" footer="0.3"/>
  <customProperties>
    <customPr name="workbookAdvencedSettings" r:id="rId1"/>
    <customPr name="workbookExecutionSettings" r:id="rId2"/>
    <customPr name="workbookGatewaySettings" r:id="rId3"/>
  </customProperties>
  <drawing r:id="rId4"/>
  <legacy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customProperties>
    <customPr name="workbookAdvencedSettings" r:id="rId1"/>
    <customPr name="workbookExecutionSettings" r:id="rId2"/>
    <customPr name="workbookGatewaySettings" r:id="rId3"/>
  </customProperties>
  <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3:K24"/>
  <sheetViews>
    <sheetView zoomScaleNormal="100" workbookViewId="0">
      <selection activeCell="C3" sqref="C3"/>
    </sheetView>
  </sheetViews>
  <sheetFormatPr defaultRowHeight="15" x14ac:dyDescent="0.25"/>
  <cols>
    <col min="2" max="3" width="9.140625" customWidth="1"/>
    <col min="4" max="4" width="9" bestFit="1" customWidth="1"/>
  </cols>
  <sheetData>
    <row r="3" spans="2:11" x14ac:dyDescent="0.25">
      <c r="B3" t="s">
        <v>17</v>
      </c>
      <c r="D3" t="s">
        <v>520</v>
      </c>
      <c r="E3" t="s">
        <v>521</v>
      </c>
    </row>
    <row r="4" spans="2:11" x14ac:dyDescent="0.25">
      <c r="E4" s="159">
        <v>339</v>
      </c>
    </row>
    <row r="7" spans="2:11" x14ac:dyDescent="0.25">
      <c r="B7" t="s">
        <v>522</v>
      </c>
      <c r="D7" s="93" t="str">
        <f>INDEX(PCdb[],MATCH($E$4,PCdb[RMID],0),UIoptions!D$48)</f>
        <v>SPLB-339</v>
      </c>
      <c r="K7" s="93"/>
    </row>
    <row r="8" spans="2:11" x14ac:dyDescent="0.25">
      <c r="B8" t="s">
        <v>193</v>
      </c>
      <c r="D8" s="93" t="str">
        <f>INDEX(Criteria!D159:F223,MATCH(CONCATENATE(UIoptions!C45,UIoptions!D45,PRODUCTION!D7),Criteria!D159:D223,0),3)</f>
        <v>3-123.722</v>
      </c>
    </row>
    <row r="9" spans="2:11" x14ac:dyDescent="0.25">
      <c r="D9" s="93"/>
    </row>
    <row r="10" spans="2:11" x14ac:dyDescent="0.25">
      <c r="B10" t="s">
        <v>291</v>
      </c>
      <c r="D10" s="93" t="str">
        <f>IF(ISNUMBER(SEARCH("SP",D7)),"See Drawing",INDEX(PCdb[],MATCH($E$4,PCdb[RMID],0),COLUMN(PCdb[BCD])))</f>
        <v>See Drawing</v>
      </c>
    </row>
    <row r="11" spans="2:11" x14ac:dyDescent="0.25">
      <c r="B11" t="s">
        <v>18</v>
      </c>
      <c r="D11" s="93" t="str">
        <f>IF(ISNUMBER(SEARCH("SP",D7)),"See Drawing",INDEX(PCdb[],MATCH($E$4,PCdb[RMID],0),COLUMN(PCdb[PD])))</f>
        <v>See Drawing</v>
      </c>
    </row>
    <row r="12" spans="2:11" x14ac:dyDescent="0.25">
      <c r="B12" t="s">
        <v>43</v>
      </c>
      <c r="D12" s="93" t="str">
        <f>IF(ISNUMBER(SEARCH("SP",D7)),"See Drawing",INDEX(PCdb[],MATCH($E$4,PCdb[RMID],0),COLUMN(PCdb[SL])))</f>
        <v>See Drawing</v>
      </c>
    </row>
    <row r="13" spans="2:11" x14ac:dyDescent="0.25">
      <c r="B13" t="s">
        <v>42</v>
      </c>
      <c r="D13" s="93">
        <f>INDEX(PCdb[],MATCH($E$4,PCdb[RMID],0),COLUMN(PCdb[SD]))</f>
        <v>16</v>
      </c>
    </row>
    <row r="14" spans="2:11" s="103" customFormat="1" x14ac:dyDescent="0.25">
      <c r="D14" s="93"/>
    </row>
    <row r="15" spans="2:11" x14ac:dyDescent="0.25">
      <c r="B15" t="s">
        <v>44</v>
      </c>
      <c r="D15" s="93" t="str">
        <f>IF(ISNUMBER(SEARCH("SPL",D7)),"See Drawing",IF(OR(D7="A2",D7="B2",D7="C2",D7="D2"),INDEX(PCdb[],MATCH($E$4,PCdb[RMID],0),COLUMN(PCdb[THREAD_SZ])),INDEX(PCdb[],MATCH($E$4,PCdb[RMID],0),COLUMN(PCdb[H]))))</f>
        <v>See Drawing</v>
      </c>
    </row>
    <row r="16" spans="2:11" x14ac:dyDescent="0.25">
      <c r="B16" t="s">
        <v>576</v>
      </c>
      <c r="D16" s="93" t="str">
        <f>IF(ISNUMBER(SEARCH("SPL",D7)),"See Drawing",INDEX(PCdb[],MATCH($E$4,PCdb[RMID],0),COLUMN(PCdb[NBR_HOLES])))</f>
        <v>See Drawing</v>
      </c>
      <c r="E16" t="s">
        <v>577</v>
      </c>
    </row>
    <row r="17" spans="2:4" x14ac:dyDescent="0.25">
      <c r="B17" t="s">
        <v>2</v>
      </c>
      <c r="D17" s="93" t="str">
        <f>IF(ISNUMBER(SEARCH("SPL",D7)),"See Drawing",INDEX(PCdb[],MATCH($E$4,PCdb[RMID],0),UIoptions!E$48))</f>
        <v>See Drawing</v>
      </c>
    </row>
    <row r="18" spans="2:4" x14ac:dyDescent="0.25">
      <c r="B18" t="s">
        <v>1</v>
      </c>
      <c r="D18" s="93" t="str">
        <f>IF(ISNUMBER(SEARCH("SPL",D7)),"See Drawing",INDEX(PCdb[],MATCH($E$4,PCdb[RMID],0),UIoptions!F$48))</f>
        <v>See Drawing</v>
      </c>
    </row>
    <row r="19" spans="2:4" x14ac:dyDescent="0.25">
      <c r="B19" t="s">
        <v>564</v>
      </c>
      <c r="D19" s="93">
        <f>INDEX(PCdb[],MATCH($E$4,PCdb[RMID],0),UIoptions!$G$48)</f>
        <v>45</v>
      </c>
    </row>
    <row r="20" spans="2:4" x14ac:dyDescent="0.25">
      <c r="B20" t="s">
        <v>565</v>
      </c>
      <c r="D20" s="93">
        <f>INDEX(PCdb[],MATCH($E$4,PCdb[RMID],0),UIoptions!$H$48)</f>
        <v>90</v>
      </c>
    </row>
    <row r="21" spans="2:4" x14ac:dyDescent="0.25">
      <c r="D21" s="93"/>
    </row>
    <row r="22" spans="2:4" x14ac:dyDescent="0.25">
      <c r="B22" t="s">
        <v>3</v>
      </c>
      <c r="D22" s="93">
        <f>IF(UIoptions!$C$41=1,INDEX(PCdb[],MATCH(PRODUCTION!$E$4,PCdb[RMID],0),UIoptions!I48),"NA")</f>
        <v>48.7</v>
      </c>
    </row>
    <row r="24" spans="2:4" x14ac:dyDescent="0.25">
      <c r="D24" s="93"/>
    </row>
  </sheetData>
  <pageMargins left="0.7" right="0.7" top="0.75" bottom="0.75" header="0.3" footer="0.3"/>
  <pageSetup paperSize="9" orientation="portrait" r:id="rId1"/>
  <customProperties>
    <customPr name="workbookAdvencedSettings" r:id="rId2"/>
    <customPr name="workbookExecutionSettings" r:id="rId3"/>
    <customPr name="workbookGatewaySettings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7" name="Drop Down 1">
              <controlPr defaultSize="0" autoLine="0" autoPict="0">
                <anchor mov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2</xdr:col>
                    <xdr:colOff>600075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8" name="Drop Down 2">
              <controlPr defaultSize="0" autoLine="0" autoPict="0">
                <anchor moveWithCells="1">
                  <from>
                    <xdr:col>3</xdr:col>
                    <xdr:colOff>9525</xdr:colOff>
                    <xdr:row>3</xdr:row>
                    <xdr:rowOff>0</xdr:rowOff>
                  </from>
                  <to>
                    <xdr:col>3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D3"/>
  <sheetViews>
    <sheetView workbookViewId="0">
      <selection activeCell="C3" sqref="C3"/>
    </sheetView>
  </sheetViews>
  <sheetFormatPr defaultRowHeight="15" x14ac:dyDescent="0.25"/>
  <sheetData>
    <row r="2" spans="1:4" x14ac:dyDescent="0.25">
      <c r="A2" t="s">
        <v>570</v>
      </c>
      <c r="B2" t="s">
        <v>585</v>
      </c>
      <c r="C2" t="s">
        <v>586</v>
      </c>
      <c r="D2" t="s">
        <v>587</v>
      </c>
    </row>
    <row r="3" spans="1:4" x14ac:dyDescent="0.25">
      <c r="A3">
        <v>98</v>
      </c>
      <c r="C3">
        <v>159</v>
      </c>
    </row>
  </sheetData>
  <pageMargins left="0.7" right="0.7" top="0.75" bottom="0.75" header="0.3" footer="0.3"/>
  <customProperties>
    <customPr name="workbookAdvencedSettings" r:id="rId1"/>
    <customPr name="workbookExecutionSettings" r:id="rId2"/>
    <customPr name="workbookGatewaySetting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UI</vt:lpstr>
      <vt:lpstr>UIoptions</vt:lpstr>
      <vt:lpstr>DATABASE</vt:lpstr>
      <vt:lpstr>NewID</vt:lpstr>
      <vt:lpstr>MotorCrossRef</vt:lpstr>
      <vt:lpstr>Criteria</vt:lpstr>
      <vt:lpstr>Sheet1</vt:lpstr>
      <vt:lpstr>UIfilter</vt:lpstr>
      <vt:lpstr>VERSION</vt:lpstr>
      <vt:lpstr>DATABASErevision</vt:lpstr>
      <vt:lpstr>PRODUCTION</vt:lpstr>
      <vt:lpstr>Blad1</vt:lpstr>
      <vt:lpstr>UIoptions!MotorManufacturersTxt</vt:lpstr>
      <vt:lpstr>MotorManufacturersTxt</vt:lpstr>
      <vt:lpstr>UIoptions!MotorsTxt</vt:lpstr>
      <vt:lpstr>MotorsTxt</vt:lpstr>
      <vt:lpstr>testDelete</vt:lpstr>
    </vt:vector>
  </TitlesOfParts>
  <Company>Danaher Motion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Jonason Bjärenstam</dc:creator>
  <cp:lastModifiedBy>Karlsson, Anders</cp:lastModifiedBy>
  <cp:lastPrinted>2018-07-18T16:01:15Z</cp:lastPrinted>
  <dcterms:created xsi:type="dcterms:W3CDTF">2014-02-11T13:00:18Z</dcterms:created>
  <dcterms:modified xsi:type="dcterms:W3CDTF">2021-07-06T12:54:48Z</dcterms:modified>
</cp:coreProperties>
</file>